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908" windowHeight="7896" activeTab="1"/>
  </bookViews>
  <sheets>
    <sheet name="Amortissement" sheetId="1" r:id="rId1"/>
    <sheet name="BP FSM " sheetId="2" r:id="rId2"/>
    <sheet name="Business plan_ensemble" sheetId="3" state="hidden" r:id="rId3"/>
    <sheet name="Réalisation_travaux" sheetId="4" state="hidden" r:id="rId4"/>
    <sheet name="CALCUL_ANNUITE ENSEMBLE" sheetId="5" state="hidden" r:id="rId5"/>
    <sheet name="CALCUL ANNUITE " sheetId="6" state="hidden" r:id="rId6"/>
  </sheets>
  <externalReferences>
    <externalReference r:id="rId9"/>
  </externalReferences>
  <definedNames>
    <definedName name="_xlnm.Print_Area" localSheetId="1">'BP FSM '!$A$1:$N$92</definedName>
  </definedNames>
  <calcPr fullCalcOnLoad="1"/>
</workbook>
</file>

<file path=xl/comments2.xml><?xml version="1.0" encoding="utf-8"?>
<comments xmlns="http://schemas.openxmlformats.org/spreadsheetml/2006/main">
  <authors>
    <author>FETRA RAZAF</author>
  </authors>
  <commentList>
    <comment ref="A69" authorId="0">
      <text>
        <r>
          <rPr>
            <b/>
            <sz val="9"/>
            <rFont val="Tahoma"/>
            <family val="0"/>
          </rPr>
          <t>FETRA RAZAF:</t>
        </r>
        <r>
          <rPr>
            <sz val="9"/>
            <rFont val="Tahoma"/>
            <family val="0"/>
          </rPr>
          <t xml:space="preserve">
manque d'information, on prend une valeur forfaitaire de 5 000 000Ar pour cette année 2023</t>
        </r>
      </text>
    </comment>
  </commentList>
</comments>
</file>

<file path=xl/comments3.xml><?xml version="1.0" encoding="utf-8"?>
<comments xmlns="http://schemas.openxmlformats.org/spreadsheetml/2006/main">
  <authors>
    <author>Paoly Jaona</author>
  </authors>
  <commentList>
    <comment ref="C33" authorId="0">
      <text>
        <r>
          <rPr>
            <b/>
            <sz val="9"/>
            <rFont val="Tahoma"/>
            <family val="2"/>
          </rPr>
          <t>Paoly Jaona:</t>
        </r>
        <r>
          <rPr>
            <sz val="9"/>
            <rFont val="Tahoma"/>
            <family val="2"/>
          </rPr>
          <t xml:space="preserve">
Investissement</t>
        </r>
      </text>
    </comment>
    <comment ref="D33" authorId="0">
      <text>
        <r>
          <rPr>
            <b/>
            <sz val="9"/>
            <rFont val="Tahoma"/>
            <family val="2"/>
          </rPr>
          <t>Paoly Jaona:</t>
        </r>
        <r>
          <rPr>
            <sz val="9"/>
            <rFont val="Tahoma"/>
            <family val="2"/>
          </rPr>
          <t xml:space="preserve">
Subvention BP et investissement BS
</t>
        </r>
      </text>
    </comment>
    <comment ref="E33" authorId="0">
      <text>
        <r>
          <rPr>
            <b/>
            <sz val="9"/>
            <rFont val="Tahoma"/>
            <family val="2"/>
          </rPr>
          <t>Paoly Jaona:</t>
        </r>
        <r>
          <rPr>
            <sz val="9"/>
            <rFont val="Tahoma"/>
            <family val="2"/>
          </rPr>
          <t xml:space="preserve">
Subvention BP et investissement BS</t>
        </r>
      </text>
    </comment>
    <comment ref="A29" authorId="0">
      <text>
        <r>
          <rPr>
            <b/>
            <sz val="9"/>
            <rFont val="Tahoma"/>
            <family val="2"/>
          </rPr>
          <t>Paoly Jaona:</t>
        </r>
        <r>
          <rPr>
            <sz val="9"/>
            <rFont val="Tahoma"/>
            <family val="2"/>
          </rPr>
          <t xml:space="preserve">
WC, urinoir
</t>
        </r>
      </text>
    </comment>
    <comment ref="A28" authorId="0">
      <text>
        <r>
          <rPr>
            <b/>
            <sz val="9"/>
            <rFont val="Tahoma"/>
            <family val="2"/>
          </rPr>
          <t>Paoly Jaona:</t>
        </r>
        <r>
          <rPr>
            <sz val="9"/>
            <rFont val="Tahoma"/>
            <family val="2"/>
          </rPr>
          <t xml:space="preserve">
Fontaines, lavoirs, douches</t>
        </r>
      </text>
    </comment>
  </commentList>
</comments>
</file>

<file path=xl/comments5.xml><?xml version="1.0" encoding="utf-8"?>
<comments xmlns="http://schemas.openxmlformats.org/spreadsheetml/2006/main">
  <authors>
    <author>Paoly Jaona</author>
  </authors>
  <commentList>
    <comment ref="D5" authorId="0">
      <text>
        <r>
          <rPr>
            <b/>
            <sz val="9"/>
            <rFont val="Tahoma"/>
            <family val="2"/>
          </rPr>
          <t>Paoly Jaona:</t>
        </r>
        <r>
          <rPr>
            <sz val="9"/>
            <rFont val="Tahoma"/>
            <family val="2"/>
          </rPr>
          <t xml:space="preserve">
Investissement</t>
        </r>
      </text>
    </comment>
  </commentList>
</comments>
</file>

<file path=xl/comments6.xml><?xml version="1.0" encoding="utf-8"?>
<comments xmlns="http://schemas.openxmlformats.org/spreadsheetml/2006/main">
  <authors>
    <author>z01369</author>
  </authors>
  <commentList>
    <comment ref="D5" authorId="0">
      <text>
        <r>
          <rPr>
            <b/>
            <sz val="8"/>
            <rFont val="Tahoma"/>
            <family val="2"/>
          </rPr>
          <t>z01369:</t>
        </r>
        <r>
          <rPr>
            <sz val="8"/>
            <rFont val="Tahoma"/>
            <family val="2"/>
          </rPr>
          <t xml:space="preserve">
investissement</t>
        </r>
      </text>
    </comment>
  </commentList>
</comments>
</file>

<file path=xl/sharedStrings.xml><?xml version="1.0" encoding="utf-8"?>
<sst xmlns="http://schemas.openxmlformats.org/spreadsheetml/2006/main" count="252" uniqueCount="195">
  <si>
    <t>Année</t>
  </si>
  <si>
    <t>E la demande annuelle en eau (m3)</t>
  </si>
  <si>
    <t>R: le revenu annuel (Ar)</t>
  </si>
  <si>
    <t>DA dépenses d'ammortissement</t>
  </si>
  <si>
    <t>DT: Dépenses de taxation</t>
  </si>
  <si>
    <t>D: Dépenses totales</t>
  </si>
  <si>
    <t>Bénéfice</t>
  </si>
  <si>
    <t>Flux de trésorerie</t>
  </si>
  <si>
    <t>Cumul de trésorerie</t>
  </si>
  <si>
    <t>Revenu net</t>
  </si>
  <si>
    <t>Cumul de revenu</t>
  </si>
  <si>
    <t>Coût de l'eau</t>
  </si>
  <si>
    <t>MOIS</t>
  </si>
  <si>
    <t xml:space="preserve">Installations de production d'eau potable </t>
  </si>
  <si>
    <t>Stockage</t>
  </si>
  <si>
    <t>Personnel</t>
  </si>
  <si>
    <t>Trésorerie</t>
  </si>
  <si>
    <t>SEMAINE</t>
  </si>
  <si>
    <t>S1</t>
  </si>
  <si>
    <t>S2</t>
  </si>
  <si>
    <t>S3</t>
  </si>
  <si>
    <t>S4</t>
  </si>
  <si>
    <t>Subvention1</t>
  </si>
  <si>
    <t>Subvention2</t>
  </si>
  <si>
    <t>Subvention3</t>
  </si>
  <si>
    <t>Subvention4</t>
  </si>
  <si>
    <t>Subvention5</t>
  </si>
  <si>
    <t>APD</t>
  </si>
  <si>
    <t>Transport d'eau brute (Conduite d'amené)</t>
  </si>
  <si>
    <t>Etude APD</t>
  </si>
  <si>
    <t>TOTAL SUBVENTION</t>
  </si>
  <si>
    <t>Fonctionnement</t>
  </si>
  <si>
    <t>Location voiture</t>
  </si>
  <si>
    <t>Captage et traitement</t>
  </si>
  <si>
    <t>Conduite d'amené</t>
  </si>
  <si>
    <t>TOTAL DEPENSE</t>
  </si>
  <si>
    <t>Cumul trésorerie</t>
  </si>
  <si>
    <t>Taux</t>
  </si>
  <si>
    <t>Coefficient d'actualisation</t>
  </si>
  <si>
    <t>Recettes actualisées</t>
  </si>
  <si>
    <t>Dépenses actualisées</t>
  </si>
  <si>
    <t>TRI</t>
  </si>
  <si>
    <t>TAUX</t>
  </si>
  <si>
    <t>ANUITE</t>
  </si>
  <si>
    <t>DETTE REMBOURSEE</t>
  </si>
  <si>
    <t>A4bis- Taux de branchement BF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</si>
  <si>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</si>
  <si>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A3- Taux de branchement particulier</t>
  </si>
  <si>
    <t>Coût moyen annuel de l'eau</t>
  </si>
  <si>
    <t>TVA (20%)</t>
  </si>
  <si>
    <t>INTERET (10%)</t>
  </si>
  <si>
    <t>Ar</t>
  </si>
  <si>
    <t>Dépense pour le calcul de payback</t>
  </si>
  <si>
    <t>Ratio de couverture de l'Investissement (ICR)</t>
  </si>
  <si>
    <t>Trésorerie actualisé</t>
  </si>
  <si>
    <t>Investissement actualisé</t>
  </si>
  <si>
    <t>Pay back (ans)</t>
  </si>
  <si>
    <t>Cumul trésorerie actualisé</t>
  </si>
  <si>
    <t>I Information principale</t>
  </si>
  <si>
    <t>I1- Population totale</t>
  </si>
  <si>
    <t>I2- Population totale en ménages</t>
  </si>
  <si>
    <t>I3- Ménages potentiellement branchés</t>
  </si>
  <si>
    <t>I4- Ménages ayant branchement privé</t>
  </si>
  <si>
    <t>I5- Ménages s'approvisionnant aux BS</t>
  </si>
  <si>
    <t>I6- Ménages s'approvisionnant aux monoblocs</t>
  </si>
  <si>
    <t>I7- Demande en eau journalière par habitant branché (l/p/j)</t>
  </si>
  <si>
    <t>I8- Demande en eau journalière par habitant BS (l/p/j)</t>
  </si>
  <si>
    <t>I9- Demande en eau journalière par monoblocs (l/p/j)</t>
  </si>
  <si>
    <t>I10- Demande en eau annuelle aux branchements (m3)</t>
  </si>
  <si>
    <t>I11- Demande en eau annuelle aux BS (m3)</t>
  </si>
  <si>
    <t>I12- Demande en eau annuelle au monobloc (m3)</t>
  </si>
  <si>
    <t>II: Revenu</t>
  </si>
  <si>
    <t>II1 Tarif branchements privés (Ar/m3)</t>
  </si>
  <si>
    <t>II2- Tarif BS (Ar/m3)</t>
  </si>
  <si>
    <t>II3- Tarif Monobloc hors part fontainier (Ar/m3)</t>
  </si>
  <si>
    <t>II4- Revenu annuel des branchements</t>
  </si>
  <si>
    <t>II5- Revenu annuel des BS</t>
  </si>
  <si>
    <t>II6- Revenu annuel du monobloc eau</t>
  </si>
  <si>
    <t>II7- Revenu annuel du monobloc hygiène</t>
  </si>
  <si>
    <t>II8- Subvention</t>
  </si>
  <si>
    <t>III. Dépenses</t>
  </si>
  <si>
    <t>III1. Salaires</t>
  </si>
  <si>
    <t>III3. Réactifs (1,5mg/l de chlore)</t>
  </si>
  <si>
    <t>III4. Energie</t>
  </si>
  <si>
    <t>III5. Analyse de qualité</t>
  </si>
  <si>
    <t>III6. Maintenance (1% du coût de construction pendant 10 ans puis 2%)</t>
  </si>
  <si>
    <t>III7. Fonctionnement</t>
  </si>
  <si>
    <t>Coût d'exploitation</t>
  </si>
  <si>
    <t>IV. Ammortissement des infrastructures</t>
  </si>
  <si>
    <t>V1. Taxe communale</t>
  </si>
  <si>
    <t>V2. Taxe sur les bénéfices</t>
  </si>
  <si>
    <t>III 2 CNaPS ET OSTIE</t>
  </si>
  <si>
    <t>% par rapport @ recette générale</t>
  </si>
  <si>
    <t>% prix de l'eau</t>
  </si>
  <si>
    <t>investissement gestionnaire</t>
  </si>
  <si>
    <t>ANNUITE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</si>
  <si>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</si>
  <si>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</si>
  <si>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</si>
  <si>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</si>
  <si>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</si>
  <si>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</si>
  <si>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</si>
  <si>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</si>
  <si>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</si>
  <si>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</si>
  <si>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</si>
  <si>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</si>
  <si>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</si>
  <si>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</si>
  <si>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</si>
  <si>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Population totale</t>
  </si>
  <si>
    <t>Taille de ménage</t>
  </si>
  <si>
    <t>Taux d'Inflation: 4%</t>
  </si>
  <si>
    <t>Salaires du personnel</t>
  </si>
  <si>
    <t>CNaPS ET OSTIE</t>
  </si>
  <si>
    <t>Charges et Dépenses</t>
  </si>
  <si>
    <t>mensuel</t>
  </si>
  <si>
    <t>annuel</t>
  </si>
  <si>
    <t>Total</t>
  </si>
  <si>
    <t>Rubrique</t>
  </si>
  <si>
    <t>Durée de vie utile (ans)</t>
  </si>
  <si>
    <t>Taux d'amortissement</t>
  </si>
  <si>
    <t>Valeur d'acquisition (Ar)</t>
  </si>
  <si>
    <t>Total dotation aux amortissements</t>
  </si>
  <si>
    <t>1. Taxe communale 2%</t>
  </si>
  <si>
    <t>DA dépenses d'amortissement</t>
  </si>
  <si>
    <t>Renforcement des matériels et STBV</t>
  </si>
  <si>
    <t>BUSINESS PLAN GUIDE POUR LA GESTION DE FSM A FIANARANTSOA</t>
  </si>
  <si>
    <t>1 Directrice</t>
  </si>
  <si>
    <t>1 Gérante</t>
  </si>
  <si>
    <t>2. Redevance assainissement 5%</t>
  </si>
  <si>
    <t>Analyses de la qualité de BIOZEZIKA (IPM,FOFIFA,…)</t>
  </si>
  <si>
    <t>Amortissement des matériels et infrastructures</t>
  </si>
  <si>
    <t>2 Chauffeur</t>
  </si>
  <si>
    <t>6 Vidangeurs</t>
  </si>
  <si>
    <t>2 Technicien Commercial</t>
  </si>
  <si>
    <t>Mise en emballage ou sachet de BIOZEZIKA</t>
  </si>
  <si>
    <t>Autres produits consommables (epi, bureautique,…)</t>
  </si>
  <si>
    <t>Maintenance et Fonctionnement (entretien véhicule, entretien station de traitement, remplacement des matériaux)</t>
  </si>
  <si>
    <t>Prestation de vidange</t>
  </si>
  <si>
    <t>Production d'Engrais Biozezika</t>
  </si>
  <si>
    <t xml:space="preserve">Carburants et lubriifants pour déplacements engins et véhicules de fonctionnement </t>
  </si>
  <si>
    <t>Frais administratifs (Loyer, assurances, ….)</t>
  </si>
  <si>
    <t>2038</t>
  </si>
  <si>
    <t>Production unitaire de Biozezika pour 1 m3 de boue (kg)</t>
  </si>
  <si>
    <t>Poids annuel d'engrais biozezika (kg)</t>
  </si>
  <si>
    <t>Nombre de ménages</t>
  </si>
  <si>
    <t>Investissement Initial</t>
  </si>
  <si>
    <t>Poids annuel d'engrais biozezika (Tonnes)</t>
  </si>
  <si>
    <t>Nombre de Blocs Sanitaires (BS)</t>
  </si>
  <si>
    <t>Nombre d'Hôtellerie</t>
  </si>
  <si>
    <t>Nombre de Fosse Traditionnelle FT</t>
  </si>
  <si>
    <t>Nombre de Fosse Septique FS</t>
  </si>
  <si>
    <t>Production unitaire de matière fécale par habitants en kg par jour</t>
  </si>
  <si>
    <t>Production unitaire de matière fécale par habitants en litre par jour</t>
  </si>
  <si>
    <t>2022</t>
  </si>
  <si>
    <t>Tarif Biozezika 1 (Ar/kg): Achat direct sur site (Prix usine)</t>
  </si>
  <si>
    <t>Tarif Biozezika 2 (Ar/kg): Achat avec livraison et/ou auprès distributeur</t>
  </si>
  <si>
    <t>Revenu Biozezika 1 (supposons 60% des ventes)</t>
  </si>
  <si>
    <t>Revenu Biozezika 2 (supposons 40% des ventes)</t>
  </si>
  <si>
    <t>Revenu annuel des FT</t>
  </si>
  <si>
    <t>Tarif pour prestation annexe 2 (Remplacement de machefer) en Ariary (Fft)</t>
  </si>
  <si>
    <t>Tarif pour prestation annexe 1 (Construction fosse septique de capacité 1 à 2 m3 pour Particuliers) en Ariary (Fft)</t>
  </si>
  <si>
    <t>Tarif pour prestation annexe 3 (Mise en place d'interface SATOPAN) en Ariary (Fft)</t>
  </si>
  <si>
    <t>Revenu Prestation Annexe</t>
  </si>
  <si>
    <t>Taux de couverture en vidange pour les FT</t>
  </si>
  <si>
    <t>Taux de couverture en vidange pour les FS</t>
  </si>
  <si>
    <t>1 - Information générale</t>
  </si>
  <si>
    <t>2 - Revenu</t>
  </si>
  <si>
    <t>Revenu annuel des FS 1 (Particuliers)</t>
  </si>
  <si>
    <t>Revenu annuel des FS 2 (professionnelles)</t>
  </si>
  <si>
    <t>4 Agents techniques</t>
  </si>
  <si>
    <t>Investissements intermédiaires (extension station de traitement, equipements, engins roulants)</t>
  </si>
  <si>
    <t>Extention station de traitement (2026)</t>
  </si>
  <si>
    <t>Extension station de traitement 2 (2030)</t>
  </si>
  <si>
    <r>
      <t xml:space="preserve">Taux de desserte par Fosse Traditionnelle </t>
    </r>
    <r>
      <rPr>
        <b/>
        <sz val="8"/>
        <rFont val="Times New Roman"/>
        <family val="1"/>
      </rPr>
      <t>FT</t>
    </r>
    <r>
      <rPr>
        <sz val="8"/>
        <rFont val="Times New Roman"/>
        <family val="1"/>
      </rPr>
      <t xml:space="preserve"> (ou Fosse Simple)  incluant les Latrines ECOSAN</t>
    </r>
  </si>
  <si>
    <r>
      <t xml:space="preserve">Taux de desserte par Fosse Septique </t>
    </r>
    <r>
      <rPr>
        <b/>
        <sz val="8"/>
        <rFont val="Times New Roman"/>
        <family val="1"/>
      </rPr>
      <t>FS</t>
    </r>
  </si>
  <si>
    <r>
      <t>Production annuelle de matière fécale aux FT (m</t>
    </r>
    <r>
      <rPr>
        <sz val="8"/>
        <rFont val="Tahoma"/>
        <family val="2"/>
      </rPr>
      <t>³</t>
    </r>
    <r>
      <rPr>
        <sz val="8"/>
        <rFont val="Times New Roman"/>
        <family val="1"/>
      </rPr>
      <t xml:space="preserve">) </t>
    </r>
  </si>
  <si>
    <r>
      <t>Production annuelle de matière fécale aux FS (m</t>
    </r>
    <r>
      <rPr>
        <sz val="8"/>
        <rFont val="Tahoma"/>
        <family val="2"/>
      </rPr>
      <t>³</t>
    </r>
    <r>
      <rPr>
        <sz val="8"/>
        <rFont val="Times New Roman"/>
        <family val="1"/>
      </rPr>
      <t xml:space="preserve">) </t>
    </r>
  </si>
  <si>
    <r>
      <t>Production annuelle de matière fécale aux FS (m</t>
    </r>
    <r>
      <rPr>
        <sz val="8"/>
        <rFont val="Tahoma"/>
        <family val="2"/>
      </rPr>
      <t>³</t>
    </r>
    <r>
      <rPr>
        <sz val="8"/>
        <rFont val="Times New Roman"/>
        <family val="1"/>
      </rPr>
      <t>) pour Particuliers</t>
    </r>
  </si>
  <si>
    <r>
      <t>Production annuelle de matière fécale aux FS (m</t>
    </r>
    <r>
      <rPr>
        <sz val="8"/>
        <rFont val="Tahoma"/>
        <family val="2"/>
      </rPr>
      <t>³</t>
    </r>
    <r>
      <rPr>
        <sz val="8"/>
        <rFont val="Times New Roman"/>
        <family val="1"/>
      </rPr>
      <t>) pour les Bâtiments Administratifs et Institutionnels</t>
    </r>
  </si>
  <si>
    <r>
      <t>Production annuelle de matière fécale pour les Hôtelleries (m</t>
    </r>
    <r>
      <rPr>
        <sz val="8"/>
        <rFont val="Tahoma"/>
        <family val="2"/>
      </rPr>
      <t>³</t>
    </r>
    <r>
      <rPr>
        <sz val="8"/>
        <rFont val="Times New Roman"/>
        <family val="1"/>
      </rPr>
      <t xml:space="preserve">) </t>
    </r>
  </si>
  <si>
    <r>
      <t>Production annuelle de matière fécale pour les BS (m</t>
    </r>
    <r>
      <rPr>
        <sz val="8"/>
        <rFont val="Tahoma"/>
        <family val="2"/>
      </rPr>
      <t>³</t>
    </r>
    <r>
      <rPr>
        <sz val="8"/>
        <rFont val="Times New Roman"/>
        <family val="1"/>
      </rPr>
      <t xml:space="preserve">) </t>
    </r>
  </si>
  <si>
    <r>
      <t>Poids annuel d'exréta (m</t>
    </r>
    <r>
      <rPr>
        <b/>
        <sz val="8"/>
        <rFont val="Tahoma"/>
        <family val="2"/>
      </rPr>
      <t>³</t>
    </r>
    <r>
      <rPr>
        <b/>
        <sz val="8"/>
        <rFont val="Times New Roman"/>
        <family val="1"/>
      </rPr>
      <t>)</t>
    </r>
  </si>
  <si>
    <r>
      <t>Prévision quantité annuelle de matière fécale extraite à partir des FT (m</t>
    </r>
    <r>
      <rPr>
        <sz val="8"/>
        <rFont val="Tahoma"/>
        <family val="2"/>
      </rPr>
      <t>³</t>
    </r>
    <r>
      <rPr>
        <sz val="8"/>
        <rFont val="Times New Roman"/>
        <family val="1"/>
      </rPr>
      <t xml:space="preserve">) </t>
    </r>
  </si>
  <si>
    <r>
      <t>Prévision quantité annuelle de matière fécale extraite à partir des FS (m</t>
    </r>
    <r>
      <rPr>
        <sz val="8"/>
        <rFont val="Tahoma"/>
        <family val="2"/>
      </rPr>
      <t>³</t>
    </r>
    <r>
      <rPr>
        <sz val="8"/>
        <rFont val="Times New Roman"/>
        <family val="1"/>
      </rPr>
      <t xml:space="preserve">) </t>
    </r>
  </si>
  <si>
    <r>
      <t>Prévision quantité annuelle de matière fécale extraite à partir des FS (m</t>
    </r>
    <r>
      <rPr>
        <sz val="8"/>
        <rFont val="Tahoma"/>
        <family val="2"/>
      </rPr>
      <t>³</t>
    </r>
    <r>
      <rPr>
        <sz val="8"/>
        <rFont val="Times New Roman"/>
        <family val="1"/>
      </rPr>
      <t>) pour Particuliers</t>
    </r>
  </si>
  <si>
    <r>
      <t>Prévision quantité annuelle de matière fécale extraite à partir des FS (m</t>
    </r>
    <r>
      <rPr>
        <sz val="8"/>
        <rFont val="Tahoma"/>
        <family val="2"/>
      </rPr>
      <t>³</t>
    </r>
    <r>
      <rPr>
        <sz val="8"/>
        <rFont val="Times New Roman"/>
        <family val="1"/>
      </rPr>
      <t>) pour les Bâtiments Administratifs et Institutionnels</t>
    </r>
  </si>
  <si>
    <r>
      <t>Prévision quantité annuelle de matière fécale extraite pour les Hôtelleries (m</t>
    </r>
    <r>
      <rPr>
        <sz val="8"/>
        <rFont val="Tahoma"/>
        <family val="2"/>
      </rPr>
      <t>³</t>
    </r>
    <r>
      <rPr>
        <sz val="8"/>
        <rFont val="Times New Roman"/>
        <family val="1"/>
      </rPr>
      <t xml:space="preserve">) </t>
    </r>
  </si>
  <si>
    <r>
      <t>Prévision quantité annuelle de matière fécale extraite pour les BS (m</t>
    </r>
    <r>
      <rPr>
        <sz val="8"/>
        <rFont val="Tahoma"/>
        <family val="2"/>
      </rPr>
      <t>³</t>
    </r>
    <r>
      <rPr>
        <sz val="8"/>
        <rFont val="Times New Roman"/>
        <family val="1"/>
      </rPr>
      <t xml:space="preserve">) </t>
    </r>
  </si>
  <si>
    <r>
      <t>Prévision quantité annuelle d'exréta obtenue (m</t>
    </r>
    <r>
      <rPr>
        <b/>
        <sz val="8"/>
        <rFont val="Tahoma"/>
        <family val="2"/>
      </rPr>
      <t>³</t>
    </r>
    <r>
      <rPr>
        <b/>
        <sz val="8"/>
        <rFont val="Times New Roman"/>
        <family val="1"/>
      </rPr>
      <t>)</t>
    </r>
  </si>
  <si>
    <r>
      <t>Tarif 1: Vidange FT (Ar/m</t>
    </r>
    <r>
      <rPr>
        <b/>
        <sz val="8"/>
        <rFont val="Tahoma"/>
        <family val="2"/>
      </rPr>
      <t>³</t>
    </r>
    <r>
      <rPr>
        <b/>
        <sz val="8"/>
        <rFont val="Times New Roman"/>
        <family val="1"/>
      </rPr>
      <t>)</t>
    </r>
  </si>
  <si>
    <r>
      <t>Tarif 2: Vidange FS 1 (Ar/m</t>
    </r>
    <r>
      <rPr>
        <b/>
        <sz val="8"/>
        <rFont val="Tahoma"/>
        <family val="2"/>
      </rPr>
      <t>³</t>
    </r>
    <r>
      <rPr>
        <b/>
        <sz val="8"/>
        <rFont val="Times New Roman"/>
        <family val="1"/>
      </rPr>
      <t>) pour partiuclier</t>
    </r>
  </si>
  <si>
    <r>
      <t>Tarif 3: Vidange FS 2 (Ar/m</t>
    </r>
    <r>
      <rPr>
        <b/>
        <sz val="8"/>
        <rFont val="Tahoma"/>
        <family val="2"/>
      </rPr>
      <t>³</t>
    </r>
    <r>
      <rPr>
        <b/>
        <sz val="8"/>
        <rFont val="Times New Roman"/>
        <family val="1"/>
      </rPr>
      <t xml:space="preserve">) pour professionnelle 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</si>
</sst>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¥&quot;#,##0;\-&quot;¥&quot;#,##0"/>
    <numFmt numFmtId="167" formatCode="&quot;¥&quot;#,##0;[Red]\-&quot;¥&quot;#,##0"/>
    <numFmt numFmtId="168" formatCode="&quot;¥&quot;#,##0.00;\-&quot;¥&quot;#,##0.00"/>
    <numFmt numFmtId="169" formatCode="&quot;¥&quot;#,##0.00;[Red]\-&quot;¥&quot;#,##0.00"/>
    <numFmt numFmtId="170" formatCode="_-&quot;¥&quot;* #,##0_-;\-&quot;¥&quot;* #,##0_-;_-&quot;¥&quot;* &quot;-&quot;_-;_-@_-"/>
    <numFmt numFmtId="171" formatCode="_-&quot;¥&quot;* #,##0.00_-;\-&quot;¥&quot;* #,##0.00_-;_-&quot;¥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  <numFmt numFmtId="177" formatCode="_-* #,##0.0\ _€_-;\-* #,##0.0\ _€_-;_-* &quot;-&quot;??\ _€_-;_-@_-"/>
    <numFmt numFmtId="178" formatCode="_-* #,##0\ _€_-;\-* #,##0\ _€_-;_-* &quot;-&quot;??\ _€_-;_-@_-"/>
    <numFmt numFmtId="179" formatCode="&quot;Vrai&quot;;&quot;Vrai&quot;;&quot;Faux&quot;"/>
    <numFmt numFmtId="180" formatCode="&quot;Actif&quot;;&quot;Actif&quot;;&quot;Inactif&quot;"/>
    <numFmt numFmtId="181" formatCode="0.000"/>
    <numFmt numFmtId="182" formatCode="_-* #,##0.000\ _€_-;\-* #,##0.000\ _€_-;_-* &quot;-&quot;??\ _€_-;_-@_-"/>
    <numFmt numFmtId="183" formatCode="_-* #,##0.0000\ _€_-;\-* #,##0.0000\ _€_-;_-* &quot;-&quot;??\ _€_-;_-@_-"/>
    <numFmt numFmtId="184" formatCode="_-* #,##0.00000\ _€_-;\-* #,##0.00000\ _€_-;_-* &quot;-&quot;??\ _€_-;_-@_-"/>
    <numFmt numFmtId="185" formatCode="0.0%"/>
    <numFmt numFmtId="186" formatCode="[$-40C]dddd\ d\ mmmm\ yyyy"/>
    <numFmt numFmtId="187" formatCode="[$€-2]\ #,##0.00_);[Red]\([$€-2]\ #,##0.00\)"/>
    <numFmt numFmtId="188" formatCode="0.000%"/>
    <numFmt numFmtId="189" formatCode="0.0000%"/>
    <numFmt numFmtId="190" formatCode="0.00000%"/>
    <numFmt numFmtId="191" formatCode="_-* #\ ##0\ _€_-;\-* #\ ##0\ _€_-;_-* &quot;-&quot;??\ _€_-;_-@_-"/>
    <numFmt numFmtId="192" formatCode="_-* #.##0\ _€_-;\-* #.##0\ _€_-;_-* &quot;-&quot;??\ _€_-;_-@_-"/>
    <numFmt numFmtId="193" formatCode="#,##0.000"/>
    <numFmt numFmtId="194" formatCode="0.00000"/>
  </numFmts>
  <fonts count="59">
    <font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6"/>
      <name val="ＭＳ Ｐゴシック"/>
      <family val="3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241">
    <xf numFmtId="0" fontId="0" fillId="0" borderId="0" xfId="0" applyAlignment="1">
      <alignment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178" fontId="0" fillId="0" borderId="11" xfId="46" applyNumberFormat="1" applyFont="1" applyBorder="1" applyAlignment="1">
      <alignment/>
    </xf>
    <xf numFmtId="178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8" fontId="0" fillId="0" borderId="15" xfId="46" applyNumberFormat="1" applyFont="1" applyBorder="1" applyAlignment="1">
      <alignment/>
    </xf>
    <xf numFmtId="0" fontId="0" fillId="0" borderId="16" xfId="0" applyBorder="1" applyAlignment="1">
      <alignment/>
    </xf>
    <xf numFmtId="178" fontId="0" fillId="0" borderId="17" xfId="46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" fontId="0" fillId="33" borderId="11" xfId="0" applyNumberFormat="1" applyFill="1" applyBorder="1" applyAlignment="1">
      <alignment/>
    </xf>
    <xf numFmtId="1" fontId="0" fillId="33" borderId="15" xfId="0" applyNumberFormat="1" applyFill="1" applyBorder="1" applyAlignment="1">
      <alignment/>
    </xf>
    <xf numFmtId="0" fontId="0" fillId="33" borderId="15" xfId="0" applyFill="1" applyBorder="1" applyAlignment="1">
      <alignment/>
    </xf>
    <xf numFmtId="178" fontId="0" fillId="33" borderId="11" xfId="46" applyNumberFormat="1" applyFont="1" applyFill="1" applyBorder="1" applyAlignment="1">
      <alignment/>
    </xf>
    <xf numFmtId="178" fontId="0" fillId="33" borderId="15" xfId="46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178" fontId="3" fillId="34" borderId="17" xfId="46" applyNumberFormat="1" applyFont="1" applyFill="1" applyBorder="1" applyAlignment="1">
      <alignment/>
    </xf>
    <xf numFmtId="178" fontId="3" fillId="34" borderId="20" xfId="46" applyNumberFormat="1" applyFont="1" applyFill="1" applyBorder="1" applyAlignment="1">
      <alignment/>
    </xf>
    <xf numFmtId="178" fontId="0" fillId="35" borderId="11" xfId="46" applyNumberFormat="1" applyFont="1" applyFill="1" applyBorder="1" applyAlignment="1">
      <alignment/>
    </xf>
    <xf numFmtId="178" fontId="0" fillId="35" borderId="15" xfId="46" applyNumberFormat="1" applyFont="1" applyFill="1" applyBorder="1" applyAlignment="1">
      <alignment/>
    </xf>
    <xf numFmtId="0" fontId="3" fillId="36" borderId="16" xfId="0" applyFont="1" applyFill="1" applyBorder="1" applyAlignment="1">
      <alignment/>
    </xf>
    <xf numFmtId="178" fontId="3" fillId="36" borderId="17" xfId="46" applyNumberFormat="1" applyFont="1" applyFill="1" applyBorder="1" applyAlignment="1">
      <alignment/>
    </xf>
    <xf numFmtId="178" fontId="3" fillId="36" borderId="20" xfId="46" applyNumberFormat="1" applyFont="1" applyFill="1" applyBorder="1" applyAlignment="1">
      <alignment/>
    </xf>
    <xf numFmtId="0" fontId="3" fillId="37" borderId="14" xfId="0" applyFont="1" applyFill="1" applyBorder="1" applyAlignment="1">
      <alignment/>
    </xf>
    <xf numFmtId="178" fontId="3" fillId="37" borderId="11" xfId="46" applyNumberFormat="1" applyFont="1" applyFill="1" applyBorder="1" applyAlignment="1">
      <alignment/>
    </xf>
    <xf numFmtId="178" fontId="3" fillId="37" borderId="15" xfId="46" applyNumberFormat="1" applyFont="1" applyFill="1" applyBorder="1" applyAlignment="1">
      <alignment/>
    </xf>
    <xf numFmtId="178" fontId="3" fillId="37" borderId="11" xfId="0" applyNumberFormat="1" applyFont="1" applyFill="1" applyBorder="1" applyAlignment="1">
      <alignment/>
    </xf>
    <xf numFmtId="0" fontId="3" fillId="37" borderId="16" xfId="0" applyFont="1" applyFill="1" applyBorder="1" applyAlignment="1">
      <alignment/>
    </xf>
    <xf numFmtId="178" fontId="3" fillId="37" borderId="17" xfId="0" applyNumberFormat="1" applyFont="1" applyFill="1" applyBorder="1" applyAlignment="1">
      <alignment/>
    </xf>
    <xf numFmtId="0" fontId="0" fillId="38" borderId="21" xfId="0" applyFill="1" applyBorder="1" applyAlignment="1">
      <alignment/>
    </xf>
    <xf numFmtId="178" fontId="0" fillId="38" borderId="22" xfId="0" applyNumberFormat="1" applyFill="1" applyBorder="1" applyAlignment="1">
      <alignment/>
    </xf>
    <xf numFmtId="178" fontId="0" fillId="38" borderId="23" xfId="0" applyNumberFormat="1" applyFill="1" applyBorder="1" applyAlignment="1">
      <alignment/>
    </xf>
    <xf numFmtId="0" fontId="0" fillId="38" borderId="14" xfId="0" applyFill="1" applyBorder="1" applyAlignment="1">
      <alignment/>
    </xf>
    <xf numFmtId="178" fontId="0" fillId="38" borderId="11" xfId="0" applyNumberFormat="1" applyFill="1" applyBorder="1" applyAlignment="1">
      <alignment/>
    </xf>
    <xf numFmtId="165" fontId="0" fillId="0" borderId="0" xfId="46" applyFont="1" applyFill="1" applyAlignment="1">
      <alignment/>
    </xf>
    <xf numFmtId="165" fontId="0" fillId="0" borderId="0" xfId="46" applyFont="1" applyAlignment="1">
      <alignment/>
    </xf>
    <xf numFmtId="165" fontId="0" fillId="0" borderId="0" xfId="0" applyNumberFormat="1" applyAlignment="1">
      <alignment/>
    </xf>
    <xf numFmtId="165" fontId="4" fillId="0" borderId="0" xfId="46" applyFont="1" applyAlignment="1">
      <alignment/>
    </xf>
    <xf numFmtId="165" fontId="3" fillId="0" borderId="0" xfId="0" applyNumberFormat="1" applyFont="1" applyAlignment="1">
      <alignment/>
    </xf>
    <xf numFmtId="165" fontId="3" fillId="0" borderId="0" xfId="46" applyFont="1" applyAlignment="1">
      <alignment/>
    </xf>
    <xf numFmtId="165" fontId="3" fillId="39" borderId="0" xfId="0" applyNumberFormat="1" applyFont="1" applyFill="1" applyAlignment="1">
      <alignment/>
    </xf>
    <xf numFmtId="0" fontId="0" fillId="38" borderId="24" xfId="0" applyFill="1" applyBorder="1" applyAlignment="1">
      <alignment/>
    </xf>
    <xf numFmtId="0" fontId="0" fillId="0" borderId="24" xfId="0" applyFill="1" applyBorder="1" applyAlignment="1">
      <alignment/>
    </xf>
    <xf numFmtId="178" fontId="0" fillId="0" borderId="0" xfId="0" applyNumberFormat="1" applyAlignment="1">
      <alignment/>
    </xf>
    <xf numFmtId="165" fontId="0" fillId="40" borderId="0" xfId="0" applyNumberFormat="1" applyFill="1" applyAlignment="1">
      <alignment/>
    </xf>
    <xf numFmtId="178" fontId="0" fillId="40" borderId="0" xfId="0" applyNumberFormat="1" applyFill="1" applyAlignment="1">
      <alignment/>
    </xf>
    <xf numFmtId="0" fontId="0" fillId="41" borderId="0" xfId="0" applyFill="1" applyAlignment="1">
      <alignment/>
    </xf>
    <xf numFmtId="178" fontId="0" fillId="41" borderId="0" xfId="46" applyNumberFormat="1" applyFont="1" applyFill="1" applyAlignment="1">
      <alignment/>
    </xf>
    <xf numFmtId="0" fontId="0" fillId="35" borderId="0" xfId="0" applyFill="1" applyAlignment="1">
      <alignment/>
    </xf>
    <xf numFmtId="178" fontId="0" fillId="35" borderId="0" xfId="46" applyNumberFormat="1" applyFont="1" applyFill="1" applyAlignment="1">
      <alignment/>
    </xf>
    <xf numFmtId="0" fontId="0" fillId="38" borderId="0" xfId="0" applyFill="1" applyAlignment="1">
      <alignment/>
    </xf>
    <xf numFmtId="178" fontId="0" fillId="38" borderId="0" xfId="0" applyNumberFormat="1" applyFill="1" applyAlignment="1">
      <alignment/>
    </xf>
    <xf numFmtId="0" fontId="0" fillId="37" borderId="0" xfId="0" applyFill="1" applyAlignment="1">
      <alignment/>
    </xf>
    <xf numFmtId="178" fontId="0" fillId="37" borderId="0" xfId="0" applyNumberFormat="1" applyFill="1" applyAlignment="1">
      <alignment/>
    </xf>
    <xf numFmtId="1" fontId="0" fillId="33" borderId="25" xfId="0" applyNumberFormat="1" applyFill="1" applyBorder="1" applyAlignment="1">
      <alignment/>
    </xf>
    <xf numFmtId="0" fontId="0" fillId="33" borderId="25" xfId="0" applyFill="1" applyBorder="1" applyAlignment="1">
      <alignment/>
    </xf>
    <xf numFmtId="178" fontId="0" fillId="33" borderId="25" xfId="46" applyNumberFormat="1" applyFont="1" applyFill="1" applyBorder="1" applyAlignment="1">
      <alignment/>
    </xf>
    <xf numFmtId="178" fontId="3" fillId="34" borderId="26" xfId="46" applyNumberFormat="1" applyFont="1" applyFill="1" applyBorder="1" applyAlignment="1">
      <alignment/>
    </xf>
    <xf numFmtId="178" fontId="0" fillId="35" borderId="25" xfId="46" applyNumberFormat="1" applyFont="1" applyFill="1" applyBorder="1" applyAlignment="1">
      <alignment/>
    </xf>
    <xf numFmtId="178" fontId="0" fillId="0" borderId="25" xfId="46" applyNumberFormat="1" applyFont="1" applyBorder="1" applyAlignment="1">
      <alignment/>
    </xf>
    <xf numFmtId="178" fontId="3" fillId="36" borderId="26" xfId="46" applyNumberFormat="1" applyFont="1" applyFill="1" applyBorder="1" applyAlignment="1">
      <alignment/>
    </xf>
    <xf numFmtId="0" fontId="0" fillId="0" borderId="25" xfId="0" applyBorder="1" applyAlignment="1">
      <alignment/>
    </xf>
    <xf numFmtId="178" fontId="3" fillId="37" borderId="25" xfId="46" applyNumberFormat="1" applyFont="1" applyFill="1" applyBorder="1" applyAlignment="1">
      <alignment/>
    </xf>
    <xf numFmtId="178" fontId="0" fillId="0" borderId="27" xfId="0" applyNumberFormat="1" applyBorder="1" applyAlignment="1">
      <alignment/>
    </xf>
    <xf numFmtId="178" fontId="3" fillId="37" borderId="27" xfId="0" applyNumberFormat="1" applyFont="1" applyFill="1" applyBorder="1" applyAlignment="1">
      <alignment/>
    </xf>
    <xf numFmtId="178" fontId="3" fillId="37" borderId="28" xfId="0" applyNumberFormat="1" applyFont="1" applyFill="1" applyBorder="1" applyAlignment="1">
      <alignment/>
    </xf>
    <xf numFmtId="178" fontId="0" fillId="38" borderId="29" xfId="0" applyNumberFormat="1" applyFill="1" applyBorder="1" applyAlignment="1">
      <alignment/>
    </xf>
    <xf numFmtId="178" fontId="0" fillId="38" borderId="27" xfId="0" applyNumberFormat="1" applyFill="1" applyBorder="1" applyAlignment="1">
      <alignment/>
    </xf>
    <xf numFmtId="178" fontId="0" fillId="0" borderId="28" xfId="46" applyNumberFormat="1" applyFont="1" applyBorder="1" applyAlignment="1">
      <alignment/>
    </xf>
    <xf numFmtId="178" fontId="0" fillId="0" borderId="30" xfId="46" applyNumberFormat="1" applyFont="1" applyBorder="1" applyAlignment="1">
      <alignment/>
    </xf>
    <xf numFmtId="178" fontId="3" fillId="37" borderId="30" xfId="0" applyNumberFormat="1" applyFont="1" applyFill="1" applyBorder="1" applyAlignment="1">
      <alignment/>
    </xf>
    <xf numFmtId="178" fontId="0" fillId="0" borderId="31" xfId="46" applyNumberFormat="1" applyFont="1" applyBorder="1" applyAlignment="1">
      <alignment/>
    </xf>
    <xf numFmtId="178" fontId="0" fillId="0" borderId="32" xfId="46" applyNumberFormat="1" applyFont="1" applyBorder="1" applyAlignment="1">
      <alignment/>
    </xf>
    <xf numFmtId="178" fontId="0" fillId="39" borderId="0" xfId="0" applyNumberFormat="1" applyFill="1" applyAlignment="1">
      <alignment/>
    </xf>
    <xf numFmtId="165" fontId="0" fillId="42" borderId="0" xfId="0" applyNumberFormat="1" applyFont="1" applyFill="1" applyAlignment="1">
      <alignment/>
    </xf>
    <xf numFmtId="9" fontId="0" fillId="0" borderId="0" xfId="0" applyNumberFormat="1" applyFill="1" applyAlignment="1">
      <alignment/>
    </xf>
    <xf numFmtId="9" fontId="0" fillId="0" borderId="0" xfId="59" applyFont="1" applyFill="1" applyAlignment="1">
      <alignment/>
    </xf>
    <xf numFmtId="10" fontId="0" fillId="0" borderId="0" xfId="0" applyNumberFormat="1" applyAlignment="1">
      <alignment/>
    </xf>
    <xf numFmtId="178" fontId="0" fillId="33" borderId="31" xfId="46" applyNumberFormat="1" applyFont="1" applyFill="1" applyBorder="1" applyAlignment="1">
      <alignment/>
    </xf>
    <xf numFmtId="178" fontId="0" fillId="33" borderId="32" xfId="46" applyNumberFormat="1" applyFont="1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178" fontId="0" fillId="43" borderId="35" xfId="46" applyNumberFormat="1" applyFont="1" applyFill="1" applyBorder="1" applyAlignment="1">
      <alignment/>
    </xf>
    <xf numFmtId="1" fontId="0" fillId="0" borderId="11" xfId="0" applyNumberFormat="1" applyBorder="1" applyAlignment="1">
      <alignment/>
    </xf>
    <xf numFmtId="165" fontId="0" fillId="0" borderId="11" xfId="46" applyFont="1" applyBorder="1" applyAlignment="1">
      <alignment/>
    </xf>
    <xf numFmtId="1" fontId="0" fillId="33" borderId="22" xfId="0" applyNumberFormat="1" applyFill="1" applyBorder="1" applyAlignment="1">
      <alignment/>
    </xf>
    <xf numFmtId="178" fontId="0" fillId="33" borderId="22" xfId="46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1" fontId="4" fillId="43" borderId="11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41" borderId="0" xfId="0" applyFont="1" applyFill="1" applyAlignment="1">
      <alignment/>
    </xf>
    <xf numFmtId="0" fontId="0" fillId="0" borderId="0" xfId="0" applyFont="1" applyAlignment="1">
      <alignment/>
    </xf>
    <xf numFmtId="165" fontId="4" fillId="0" borderId="11" xfId="46" applyFont="1" applyBorder="1" applyAlignment="1">
      <alignment/>
    </xf>
    <xf numFmtId="9" fontId="0" fillId="0" borderId="11" xfId="0" applyNumberFormat="1" applyFill="1" applyBorder="1" applyAlignment="1">
      <alignment/>
    </xf>
    <xf numFmtId="9" fontId="0" fillId="0" borderId="11" xfId="0" applyNumberFormat="1" applyBorder="1" applyAlignment="1">
      <alignment/>
    </xf>
    <xf numFmtId="178" fontId="3" fillId="0" borderId="0" xfId="0" applyNumberFormat="1" applyFont="1" applyAlignment="1">
      <alignment/>
    </xf>
    <xf numFmtId="178" fontId="3" fillId="37" borderId="33" xfId="46" applyNumberFormat="1" applyFont="1" applyFill="1" applyBorder="1" applyAlignment="1">
      <alignment/>
    </xf>
    <xf numFmtId="178" fontId="3" fillId="37" borderId="34" xfId="46" applyNumberFormat="1" applyFont="1" applyFill="1" applyBorder="1" applyAlignment="1">
      <alignment/>
    </xf>
    <xf numFmtId="178" fontId="3" fillId="37" borderId="0" xfId="46" applyNumberFormat="1" applyFont="1" applyFill="1" applyBorder="1" applyAlignment="1">
      <alignment/>
    </xf>
    <xf numFmtId="178" fontId="3" fillId="37" borderId="36" xfId="0" applyNumberFormat="1" applyFont="1" applyFill="1" applyBorder="1" applyAlignment="1">
      <alignment/>
    </xf>
    <xf numFmtId="178" fontId="3" fillId="37" borderId="0" xfId="0" applyNumberFormat="1" applyFont="1" applyFill="1" applyBorder="1" applyAlignment="1">
      <alignment/>
    </xf>
    <xf numFmtId="178" fontId="3" fillId="37" borderId="37" xfId="0" applyNumberFormat="1" applyFont="1" applyFill="1" applyBorder="1" applyAlignment="1">
      <alignment/>
    </xf>
    <xf numFmtId="0" fontId="0" fillId="38" borderId="24" xfId="0" applyFont="1" applyFill="1" applyBorder="1" applyAlignment="1">
      <alignment/>
    </xf>
    <xf numFmtId="0" fontId="0" fillId="0" borderId="38" xfId="0" applyBorder="1" applyAlignment="1">
      <alignment/>
    </xf>
    <xf numFmtId="1" fontId="0" fillId="33" borderId="39" xfId="0" applyNumberFormat="1" applyFill="1" applyBorder="1" applyAlignment="1">
      <alignment/>
    </xf>
    <xf numFmtId="178" fontId="0" fillId="33" borderId="27" xfId="46" applyNumberFormat="1" applyFont="1" applyFill="1" applyBorder="1" applyAlignment="1">
      <alignment/>
    </xf>
    <xf numFmtId="1" fontId="0" fillId="33" borderId="27" xfId="0" applyNumberFormat="1" applyFill="1" applyBorder="1" applyAlignment="1">
      <alignment/>
    </xf>
    <xf numFmtId="178" fontId="0" fillId="35" borderId="27" xfId="46" applyNumberFormat="1" applyFont="1" applyFill="1" applyBorder="1" applyAlignment="1">
      <alignment/>
    </xf>
    <xf numFmtId="0" fontId="0" fillId="0" borderId="27" xfId="0" applyBorder="1" applyAlignment="1">
      <alignment/>
    </xf>
    <xf numFmtId="178" fontId="0" fillId="0" borderId="27" xfId="46" applyNumberFormat="1" applyFont="1" applyBorder="1" applyAlignment="1">
      <alignment/>
    </xf>
    <xf numFmtId="178" fontId="0" fillId="0" borderId="40" xfId="46" applyNumberFormat="1" applyFont="1" applyBorder="1" applyAlignment="1">
      <alignment/>
    </xf>
    <xf numFmtId="178" fontId="3" fillId="37" borderId="40" xfId="0" applyNumberFormat="1" applyFont="1" applyFill="1" applyBorder="1" applyAlignment="1">
      <alignment/>
    </xf>
    <xf numFmtId="0" fontId="0" fillId="0" borderId="41" xfId="0" applyBorder="1" applyAlignment="1">
      <alignment/>
    </xf>
    <xf numFmtId="0" fontId="0" fillId="33" borderId="42" xfId="0" applyFill="1" applyBorder="1" applyAlignment="1">
      <alignment/>
    </xf>
    <xf numFmtId="178" fontId="0" fillId="33" borderId="23" xfId="46" applyNumberFormat="1" applyFont="1" applyFill="1" applyBorder="1" applyAlignment="1">
      <alignment/>
    </xf>
    <xf numFmtId="0" fontId="0" fillId="0" borderId="0" xfId="0" applyBorder="1" applyAlignment="1">
      <alignment/>
    </xf>
    <xf numFmtId="165" fontId="0" fillId="0" borderId="0" xfId="46" applyFont="1" applyBorder="1" applyAlignment="1">
      <alignment/>
    </xf>
    <xf numFmtId="165" fontId="0" fillId="0" borderId="10" xfId="46" applyFont="1" applyBorder="1" applyAlignment="1">
      <alignment/>
    </xf>
    <xf numFmtId="178" fontId="0" fillId="0" borderId="0" xfId="46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3" fontId="2" fillId="0" borderId="17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35" borderId="14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0" borderId="14" xfId="0" applyFont="1" applyBorder="1" applyAlignment="1">
      <alignment/>
    </xf>
    <xf numFmtId="10" fontId="0" fillId="38" borderId="14" xfId="59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3" fontId="2" fillId="0" borderId="44" xfId="0" applyNumberFormat="1" applyFont="1" applyFill="1" applyBorder="1" applyAlignment="1">
      <alignment horizontal="right"/>
    </xf>
    <xf numFmtId="0" fontId="0" fillId="0" borderId="44" xfId="0" applyBorder="1" applyAlignment="1">
      <alignment/>
    </xf>
    <xf numFmtId="165" fontId="2" fillId="0" borderId="45" xfId="46" applyFont="1" applyFill="1" applyBorder="1" applyAlignment="1">
      <alignment horizontal="right"/>
    </xf>
    <xf numFmtId="10" fontId="0" fillId="38" borderId="46" xfId="59" applyNumberFormat="1" applyFont="1" applyFill="1" applyBorder="1" applyAlignment="1">
      <alignment/>
    </xf>
    <xf numFmtId="178" fontId="3" fillId="0" borderId="20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42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5" xfId="0" applyNumberFormat="1" applyBorder="1" applyAlignment="1">
      <alignment/>
    </xf>
    <xf numFmtId="165" fontId="0" fillId="35" borderId="11" xfId="46" applyFont="1" applyFill="1" applyBorder="1" applyAlignment="1">
      <alignment/>
    </xf>
    <xf numFmtId="165" fontId="0" fillId="35" borderId="15" xfId="46" applyFont="1" applyFill="1" applyBorder="1" applyAlignment="1">
      <alignment/>
    </xf>
    <xf numFmtId="165" fontId="0" fillId="0" borderId="32" xfId="46" applyFont="1" applyBorder="1" applyAlignment="1">
      <alignment/>
    </xf>
    <xf numFmtId="165" fontId="3" fillId="36" borderId="17" xfId="46" applyFont="1" applyFill="1" applyBorder="1" applyAlignment="1">
      <alignment/>
    </xf>
    <xf numFmtId="165" fontId="3" fillId="36" borderId="20" xfId="46" applyFont="1" applyFill="1" applyBorder="1" applyAlignment="1">
      <alignment/>
    </xf>
    <xf numFmtId="165" fontId="0" fillId="0" borderId="13" xfId="46" applyFont="1" applyBorder="1" applyAlignment="1">
      <alignment/>
    </xf>
    <xf numFmtId="165" fontId="0" fillId="0" borderId="42" xfId="46" applyFont="1" applyBorder="1" applyAlignment="1">
      <alignment/>
    </xf>
    <xf numFmtId="165" fontId="0" fillId="0" borderId="11" xfId="46" applyFont="1" applyBorder="1" applyAlignment="1">
      <alignment/>
    </xf>
    <xf numFmtId="165" fontId="0" fillId="0" borderId="15" xfId="46" applyFont="1" applyBorder="1" applyAlignment="1">
      <alignment/>
    </xf>
    <xf numFmtId="165" fontId="3" fillId="37" borderId="11" xfId="46" applyFont="1" applyFill="1" applyBorder="1" applyAlignment="1">
      <alignment/>
    </xf>
    <xf numFmtId="165" fontId="3" fillId="37" borderId="15" xfId="46" applyFont="1" applyFill="1" applyBorder="1" applyAlignment="1">
      <alignment/>
    </xf>
    <xf numFmtId="165" fontId="3" fillId="37" borderId="17" xfId="46" applyFont="1" applyFill="1" applyBorder="1" applyAlignment="1">
      <alignment/>
    </xf>
    <xf numFmtId="165" fontId="3" fillId="37" borderId="20" xfId="46" applyFont="1" applyFill="1" applyBorder="1" applyAlignment="1">
      <alignment/>
    </xf>
    <xf numFmtId="165" fontId="3" fillId="37" borderId="36" xfId="46" applyFont="1" applyFill="1" applyBorder="1" applyAlignment="1">
      <alignment/>
    </xf>
    <xf numFmtId="165" fontId="3" fillId="37" borderId="47" xfId="46" applyFont="1" applyFill="1" applyBorder="1" applyAlignment="1">
      <alignment/>
    </xf>
    <xf numFmtId="165" fontId="0" fillId="38" borderId="22" xfId="46" applyFont="1" applyFill="1" applyBorder="1" applyAlignment="1">
      <alignment/>
    </xf>
    <xf numFmtId="165" fontId="0" fillId="38" borderId="23" xfId="46" applyFont="1" applyFill="1" applyBorder="1" applyAlignment="1">
      <alignment/>
    </xf>
    <xf numFmtId="165" fontId="0" fillId="38" borderId="11" xfId="46" applyFont="1" applyFill="1" applyBorder="1" applyAlignment="1">
      <alignment/>
    </xf>
    <xf numFmtId="165" fontId="0" fillId="38" borderId="15" xfId="46" applyFont="1" applyFill="1" applyBorder="1" applyAlignment="1">
      <alignment/>
    </xf>
    <xf numFmtId="165" fontId="0" fillId="0" borderId="17" xfId="46" applyFont="1" applyBorder="1" applyAlignment="1">
      <alignment/>
    </xf>
    <xf numFmtId="165" fontId="0" fillId="0" borderId="20" xfId="46" applyFont="1" applyBorder="1" applyAlignment="1">
      <alignment/>
    </xf>
    <xf numFmtId="165" fontId="0" fillId="33" borderId="11" xfId="46" applyFont="1" applyFill="1" applyBorder="1" applyAlignment="1">
      <alignment/>
    </xf>
    <xf numFmtId="165" fontId="0" fillId="33" borderId="15" xfId="46" applyFont="1" applyFill="1" applyBorder="1" applyAlignment="1">
      <alignment/>
    </xf>
    <xf numFmtId="165" fontId="0" fillId="33" borderId="11" xfId="46" applyFont="1" applyFill="1" applyBorder="1" applyAlignment="1">
      <alignment/>
    </xf>
    <xf numFmtId="165" fontId="0" fillId="33" borderId="15" xfId="46" applyFont="1" applyFill="1" applyBorder="1" applyAlignment="1">
      <alignment/>
    </xf>
    <xf numFmtId="165" fontId="3" fillId="34" borderId="17" xfId="46" applyFont="1" applyFill="1" applyBorder="1" applyAlignment="1">
      <alignment/>
    </xf>
    <xf numFmtId="165" fontId="3" fillId="34" borderId="20" xfId="46" applyFont="1" applyFill="1" applyBorder="1" applyAlignment="1">
      <alignment/>
    </xf>
    <xf numFmtId="0" fontId="56" fillId="0" borderId="0" xfId="0" applyFont="1" applyAlignment="1">
      <alignment/>
    </xf>
    <xf numFmtId="0" fontId="57" fillId="22" borderId="12" xfId="0" applyFont="1" applyFill="1" applyBorder="1" applyAlignment="1">
      <alignment horizontal="center" vertical="center"/>
    </xf>
    <xf numFmtId="0" fontId="57" fillId="22" borderId="13" xfId="0" applyFont="1" applyFill="1" applyBorder="1" applyAlignment="1">
      <alignment horizontal="center" vertical="center" wrapText="1"/>
    </xf>
    <xf numFmtId="0" fontId="57" fillId="22" borderId="42" xfId="0" applyFont="1" applyFill="1" applyBorder="1" applyAlignment="1">
      <alignment horizontal="center" vertical="center" wrapText="1"/>
    </xf>
    <xf numFmtId="0" fontId="56" fillId="6" borderId="14" xfId="0" applyFont="1" applyFill="1" applyBorder="1" applyAlignment="1">
      <alignment/>
    </xf>
    <xf numFmtId="0" fontId="56" fillId="11" borderId="11" xfId="0" applyFont="1" applyFill="1" applyBorder="1" applyAlignment="1">
      <alignment/>
    </xf>
    <xf numFmtId="10" fontId="56" fillId="9" borderId="11" xfId="60" applyNumberFormat="1" applyFont="1" applyFill="1" applyBorder="1" applyAlignment="1">
      <alignment/>
    </xf>
    <xf numFmtId="178" fontId="56" fillId="44" borderId="15" xfId="48" applyNumberFormat="1" applyFont="1" applyFill="1" applyBorder="1" applyAlignment="1">
      <alignment/>
    </xf>
    <xf numFmtId="178" fontId="56" fillId="0" borderId="27" xfId="48" applyNumberFormat="1" applyFont="1" applyBorder="1" applyAlignment="1">
      <alignment/>
    </xf>
    <xf numFmtId="0" fontId="57" fillId="10" borderId="16" xfId="0" applyFont="1" applyFill="1" applyBorder="1" applyAlignment="1">
      <alignment/>
    </xf>
    <xf numFmtId="0" fontId="57" fillId="10" borderId="17" xfId="0" applyFont="1" applyFill="1" applyBorder="1" applyAlignment="1">
      <alignment/>
    </xf>
    <xf numFmtId="10" fontId="57" fillId="10" borderId="17" xfId="60" applyNumberFormat="1" applyFont="1" applyFill="1" applyBorder="1" applyAlignment="1">
      <alignment/>
    </xf>
    <xf numFmtId="178" fontId="57" fillId="10" borderId="28" xfId="48" applyNumberFormat="1" applyFont="1" applyFill="1" applyBorder="1" applyAlignment="1">
      <alignment/>
    </xf>
    <xf numFmtId="178" fontId="56" fillId="0" borderId="0" xfId="46" applyNumberFormat="1" applyFont="1" applyAlignment="1">
      <alignment/>
    </xf>
    <xf numFmtId="178" fontId="56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1" fillId="0" borderId="43" xfId="0" applyFont="1" applyFill="1" applyBorder="1" applyAlignment="1">
      <alignment/>
    </xf>
    <xf numFmtId="3" fontId="13" fillId="0" borderId="44" xfId="0" applyNumberFormat="1" applyFont="1" applyFill="1" applyBorder="1" applyAlignment="1">
      <alignment horizontal="right"/>
    </xf>
    <xf numFmtId="0" fontId="11" fillId="0" borderId="44" xfId="0" applyFont="1" applyFill="1" applyBorder="1" applyAlignment="1">
      <alignment/>
    </xf>
    <xf numFmtId="10" fontId="56" fillId="0" borderId="0" xfId="0" applyNumberFormat="1" applyFont="1" applyAlignment="1">
      <alignment/>
    </xf>
    <xf numFmtId="0" fontId="56" fillId="6" borderId="48" xfId="0" applyFont="1" applyFill="1" applyBorder="1" applyAlignment="1">
      <alignment/>
    </xf>
    <xf numFmtId="0" fontId="56" fillId="11" borderId="35" xfId="0" applyFont="1" applyFill="1" applyBorder="1" applyAlignment="1">
      <alignment/>
    </xf>
    <xf numFmtId="178" fontId="56" fillId="44" borderId="49" xfId="48" applyNumberFormat="1" applyFont="1" applyFill="1" applyBorder="1" applyAlignment="1">
      <alignment/>
    </xf>
    <xf numFmtId="178" fontId="56" fillId="0" borderId="50" xfId="48" applyNumberFormat="1" applyFont="1" applyBorder="1" applyAlignment="1">
      <alignment/>
    </xf>
    <xf numFmtId="0" fontId="56" fillId="0" borderId="0" xfId="0" applyFont="1" applyAlignment="1" quotePrefix="1">
      <alignment horizontal="center"/>
    </xf>
    <xf numFmtId="0" fontId="57" fillId="22" borderId="51" xfId="0" applyFont="1" applyFill="1" applyBorder="1" applyAlignment="1">
      <alignment horizontal="center"/>
    </xf>
    <xf numFmtId="0" fontId="57" fillId="22" borderId="13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178" fontId="15" fillId="0" borderId="11" xfId="46" applyNumberFormat="1" applyFont="1" applyFill="1" applyBorder="1" applyAlignment="1">
      <alignment/>
    </xf>
    <xf numFmtId="165" fontId="15" fillId="0" borderId="11" xfId="46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 applyAlignment="1" quotePrefix="1">
      <alignment horizontal="center"/>
    </xf>
    <xf numFmtId="178" fontId="14" fillId="0" borderId="11" xfId="0" applyNumberFormat="1" applyFont="1" applyFill="1" applyBorder="1" applyAlignment="1">
      <alignment/>
    </xf>
    <xf numFmtId="178" fontId="14" fillId="0" borderId="11" xfId="48" applyNumberFormat="1" applyFont="1" applyFill="1" applyBorder="1" applyAlignment="1">
      <alignment/>
    </xf>
    <xf numFmtId="178" fontId="14" fillId="0" borderId="11" xfId="46" applyNumberFormat="1" applyFont="1" applyFill="1" applyBorder="1" applyAlignment="1">
      <alignment/>
    </xf>
    <xf numFmtId="9" fontId="14" fillId="0" borderId="11" xfId="59" applyFont="1" applyFill="1" applyBorder="1" applyAlignment="1">
      <alignment/>
    </xf>
    <xf numFmtId="9" fontId="14" fillId="0" borderId="11" xfId="0" applyNumberFormat="1" applyFont="1" applyFill="1" applyBorder="1" applyAlignment="1">
      <alignment/>
    </xf>
    <xf numFmtId="1" fontId="14" fillId="0" borderId="11" xfId="0" applyNumberFormat="1" applyFont="1" applyFill="1" applyBorder="1" applyAlignment="1">
      <alignment/>
    </xf>
    <xf numFmtId="165" fontId="14" fillId="0" borderId="11" xfId="46" applyNumberFormat="1" applyFont="1" applyFill="1" applyBorder="1" applyAlignment="1">
      <alignment/>
    </xf>
    <xf numFmtId="165" fontId="14" fillId="0" borderId="11" xfId="0" applyNumberFormat="1" applyFont="1" applyFill="1" applyBorder="1" applyAlignment="1">
      <alignment/>
    </xf>
    <xf numFmtId="178" fontId="14" fillId="0" borderId="0" xfId="0" applyNumberFormat="1" applyFont="1" applyFill="1" applyAlignment="1">
      <alignment/>
    </xf>
    <xf numFmtId="9" fontId="14" fillId="0" borderId="11" xfId="59" applyFont="1" applyFill="1" applyBorder="1" applyAlignment="1">
      <alignment horizontal="center"/>
    </xf>
    <xf numFmtId="165" fontId="14" fillId="0" borderId="11" xfId="46" applyFont="1" applyFill="1" applyBorder="1" applyAlignment="1">
      <alignment/>
    </xf>
    <xf numFmtId="178" fontId="15" fillId="0" borderId="11" xfId="0" applyNumberFormat="1" applyFont="1" applyFill="1" applyBorder="1" applyAlignment="1">
      <alignment/>
    </xf>
    <xf numFmtId="9" fontId="15" fillId="0" borderId="11" xfId="59" applyFont="1" applyFill="1" applyBorder="1" applyAlignment="1">
      <alignment/>
    </xf>
    <xf numFmtId="2" fontId="15" fillId="0" borderId="11" xfId="59" applyNumberFormat="1" applyFont="1" applyFill="1" applyBorder="1" applyAlignment="1">
      <alignment/>
    </xf>
    <xf numFmtId="9" fontId="15" fillId="0" borderId="11" xfId="0" applyNumberFormat="1" applyFont="1" applyFill="1" applyBorder="1" applyAlignment="1">
      <alignment/>
    </xf>
    <xf numFmtId="178" fontId="12" fillId="0" borderId="4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178" fontId="11" fillId="0" borderId="0" xfId="0" applyNumberFormat="1" applyFont="1" applyFill="1" applyAlignment="1">
      <alignment/>
    </xf>
    <xf numFmtId="165" fontId="11" fillId="0" borderId="0" xfId="46" applyFont="1" applyFill="1" applyAlignment="1">
      <alignment/>
    </xf>
    <xf numFmtId="0" fontId="12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9" fontId="11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/>
    </xf>
    <xf numFmtId="178" fontId="11" fillId="0" borderId="11" xfId="46" applyNumberFormat="1" applyFont="1" applyFill="1" applyBorder="1" applyAlignment="1">
      <alignment/>
    </xf>
    <xf numFmtId="165" fontId="11" fillId="0" borderId="0" xfId="0" applyNumberFormat="1" applyFont="1" applyFill="1" applyAlignment="1">
      <alignment/>
    </xf>
    <xf numFmtId="178" fontId="11" fillId="0" borderId="11" xfId="46" applyNumberFormat="1" applyFont="1" applyFill="1" applyBorder="1" applyAlignment="1">
      <alignment horizontal="center"/>
    </xf>
    <xf numFmtId="178" fontId="12" fillId="0" borderId="11" xfId="46" applyNumberFormat="1" applyFont="1" applyFill="1" applyBorder="1" applyAlignment="1">
      <alignment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Milliers 2 2" xfId="49"/>
    <cellStyle name="Milliers 3" xfId="50"/>
    <cellStyle name="Milliers 5" xfId="51"/>
    <cellStyle name="Currency" xfId="52"/>
    <cellStyle name="Currency [0]" xfId="53"/>
    <cellStyle name="Neutre" xfId="54"/>
    <cellStyle name="Normal 2" xfId="55"/>
    <cellStyle name="Normal 3" xfId="56"/>
    <cellStyle name="Normal 4" xfId="57"/>
    <cellStyle name="Note" xfId="58"/>
    <cellStyle name="Percent" xfId="59"/>
    <cellStyle name="Pourcentage 2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</xdr:row>
      <xdr:rowOff>85725</xdr:rowOff>
    </xdr:from>
    <xdr:to>
      <xdr:col>5</xdr:col>
      <xdr:colOff>742950</xdr:colOff>
      <xdr:row>5</xdr:row>
      <xdr:rowOff>85725</xdr:rowOff>
    </xdr:to>
    <xdr:sp>
      <xdr:nvSpPr>
        <xdr:cNvPr id="1" name="Line 2"/>
        <xdr:cNvSpPr>
          <a:spLocks/>
        </xdr:cNvSpPr>
      </xdr:nvSpPr>
      <xdr:spPr>
        <a:xfrm>
          <a:off x="3143250" y="895350"/>
          <a:ext cx="35909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76200</xdr:rowOff>
    </xdr:from>
    <xdr:to>
      <xdr:col>17</xdr:col>
      <xdr:colOff>695325</xdr:colOff>
      <xdr:row>7</xdr:row>
      <xdr:rowOff>76200</xdr:rowOff>
    </xdr:to>
    <xdr:sp>
      <xdr:nvSpPr>
        <xdr:cNvPr id="2" name="Line 3"/>
        <xdr:cNvSpPr>
          <a:spLocks/>
        </xdr:cNvSpPr>
      </xdr:nvSpPr>
      <xdr:spPr>
        <a:xfrm flipV="1">
          <a:off x="11077575" y="1209675"/>
          <a:ext cx="78867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8</xdr:row>
      <xdr:rowOff>76200</xdr:rowOff>
    </xdr:from>
    <xdr:to>
      <xdr:col>11</xdr:col>
      <xdr:colOff>733425</xdr:colOff>
      <xdr:row>8</xdr:row>
      <xdr:rowOff>76200</xdr:rowOff>
    </xdr:to>
    <xdr:sp>
      <xdr:nvSpPr>
        <xdr:cNvPr id="3" name="Line 4"/>
        <xdr:cNvSpPr>
          <a:spLocks/>
        </xdr:cNvSpPr>
      </xdr:nvSpPr>
      <xdr:spPr>
        <a:xfrm>
          <a:off x="9039225" y="1371600"/>
          <a:ext cx="37909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76200</xdr:rowOff>
    </xdr:from>
    <xdr:to>
      <xdr:col>14</xdr:col>
      <xdr:colOff>676275</xdr:colOff>
      <xdr:row>6</xdr:row>
      <xdr:rowOff>76200</xdr:rowOff>
    </xdr:to>
    <xdr:sp>
      <xdr:nvSpPr>
        <xdr:cNvPr id="4" name="Line 5"/>
        <xdr:cNvSpPr>
          <a:spLocks/>
        </xdr:cNvSpPr>
      </xdr:nvSpPr>
      <xdr:spPr>
        <a:xfrm flipV="1">
          <a:off x="7991475" y="1047750"/>
          <a:ext cx="78676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NDANDRANO\Documents\SANDANDRANO%20BUSINESS%20PLAN\R&#233;sum&#233;%20Anivorano%20E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36">
          <cell r="S36">
            <v>513366430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7"/>
  <sheetViews>
    <sheetView zoomScalePageLayoutView="0" workbookViewId="0" topLeftCell="B1">
      <selection activeCell="L14" sqref="L14"/>
    </sheetView>
  </sheetViews>
  <sheetFormatPr defaultColWidth="18.8515625" defaultRowHeight="12.75"/>
  <cols>
    <col min="1" max="1" width="49.28125" style="179" customWidth="1"/>
    <col min="2" max="2" width="11.28125" style="179" customWidth="1"/>
    <col min="3" max="3" width="13.8515625" style="179" customWidth="1"/>
    <col min="4" max="4" width="15.140625" style="179" customWidth="1"/>
    <col min="5" max="15" width="13.57421875" style="179" customWidth="1"/>
    <col min="16" max="16" width="13.28125" style="179" customWidth="1"/>
    <col min="17" max="17" width="13.421875" style="179" customWidth="1"/>
    <col min="18" max="19" width="13.7109375" style="179" customWidth="1"/>
    <col min="20" max="20" width="13.421875" style="179" customWidth="1"/>
    <col min="21" max="21" width="15.00390625" style="179" customWidth="1"/>
    <col min="22" max="251" width="11.421875" style="179" customWidth="1"/>
    <col min="252" max="252" width="39.140625" style="179" bestFit="1" customWidth="1"/>
    <col min="253" max="253" width="17.00390625" style="179" bestFit="1" customWidth="1"/>
    <col min="254" max="254" width="20.7109375" style="179" bestFit="1" customWidth="1"/>
    <col min="255" max="16384" width="18.8515625" style="179" customWidth="1"/>
  </cols>
  <sheetData>
    <row r="2" spans="5:21" ht="13.5" thickBot="1">
      <c r="E2" s="203" t="s">
        <v>156</v>
      </c>
      <c r="F2" s="203" t="s">
        <v>96</v>
      </c>
      <c r="G2" s="203" t="s">
        <v>97</v>
      </c>
      <c r="H2" s="203" t="s">
        <v>98</v>
      </c>
      <c r="I2" s="203" t="s">
        <v>99</v>
      </c>
      <c r="J2" s="203" t="s">
        <v>100</v>
      </c>
      <c r="K2" s="203" t="s">
        <v>101</v>
      </c>
      <c r="L2" s="203" t="s">
        <v>102</v>
      </c>
      <c r="M2" s="203" t="s">
        <v>103</v>
      </c>
      <c r="N2" s="203" t="s">
        <v>104</v>
      </c>
      <c r="O2" s="203" t="s">
        <v>105</v>
      </c>
      <c r="P2" s="203" t="s">
        <v>106</v>
      </c>
      <c r="Q2" s="203" t="s">
        <v>107</v>
      </c>
      <c r="R2" s="203" t="s">
        <v>108</v>
      </c>
      <c r="S2" s="203" t="s">
        <v>109</v>
      </c>
      <c r="T2" s="203" t="s">
        <v>110</v>
      </c>
      <c r="U2" s="203" t="s">
        <v>144</v>
      </c>
    </row>
    <row r="3" spans="1:21" ht="27.75" customHeight="1">
      <c r="A3" s="180" t="s">
        <v>120</v>
      </c>
      <c r="B3" s="181" t="s">
        <v>121</v>
      </c>
      <c r="C3" s="181" t="s">
        <v>122</v>
      </c>
      <c r="D3" s="182" t="s">
        <v>123</v>
      </c>
      <c r="E3" s="204">
        <v>0</v>
      </c>
      <c r="F3" s="205">
        <v>1</v>
      </c>
      <c r="G3" s="205">
        <v>2</v>
      </c>
      <c r="H3" s="205">
        <v>3</v>
      </c>
      <c r="I3" s="205">
        <v>4</v>
      </c>
      <c r="J3" s="205">
        <v>5</v>
      </c>
      <c r="K3" s="205">
        <v>6</v>
      </c>
      <c r="L3" s="205">
        <v>7</v>
      </c>
      <c r="M3" s="205">
        <v>8</v>
      </c>
      <c r="N3" s="205">
        <v>9</v>
      </c>
      <c r="O3" s="205">
        <v>10</v>
      </c>
      <c r="P3" s="205">
        <v>11</v>
      </c>
      <c r="Q3" s="205">
        <v>12</v>
      </c>
      <c r="R3" s="205">
        <v>13</v>
      </c>
      <c r="S3" s="205">
        <v>14</v>
      </c>
      <c r="T3" s="205">
        <v>15</v>
      </c>
      <c r="U3" s="205">
        <v>16</v>
      </c>
    </row>
    <row r="4" spans="1:21" ht="12.75">
      <c r="A4" s="183" t="s">
        <v>127</v>
      </c>
      <c r="B4" s="184">
        <v>10</v>
      </c>
      <c r="C4" s="185">
        <f>1/B4</f>
        <v>0.1</v>
      </c>
      <c r="D4" s="186">
        <v>179700000</v>
      </c>
      <c r="E4" s="187">
        <f>$C$4*$D$4</f>
        <v>17970000</v>
      </c>
      <c r="F4" s="187">
        <f aca="true" t="shared" si="0" ref="F4:U4">$C$4*$D$4</f>
        <v>17970000</v>
      </c>
      <c r="G4" s="187">
        <f t="shared" si="0"/>
        <v>17970000</v>
      </c>
      <c r="H4" s="187">
        <f t="shared" si="0"/>
        <v>17970000</v>
      </c>
      <c r="I4" s="187">
        <f t="shared" si="0"/>
        <v>17970000</v>
      </c>
      <c r="J4" s="187">
        <f t="shared" si="0"/>
        <v>17970000</v>
      </c>
      <c r="K4" s="187">
        <f t="shared" si="0"/>
        <v>17970000</v>
      </c>
      <c r="L4" s="187">
        <f t="shared" si="0"/>
        <v>17970000</v>
      </c>
      <c r="M4" s="187">
        <f t="shared" si="0"/>
        <v>17970000</v>
      </c>
      <c r="N4" s="187">
        <f t="shared" si="0"/>
        <v>17970000</v>
      </c>
      <c r="O4" s="187">
        <f t="shared" si="0"/>
        <v>17970000</v>
      </c>
      <c r="P4" s="187">
        <f t="shared" si="0"/>
        <v>17970000</v>
      </c>
      <c r="Q4" s="187">
        <f t="shared" si="0"/>
        <v>17970000</v>
      </c>
      <c r="R4" s="187">
        <f t="shared" si="0"/>
        <v>17970000</v>
      </c>
      <c r="S4" s="187">
        <f t="shared" si="0"/>
        <v>17970000</v>
      </c>
      <c r="T4" s="187">
        <f t="shared" si="0"/>
        <v>17970000</v>
      </c>
      <c r="U4" s="187">
        <f t="shared" si="0"/>
        <v>17970000</v>
      </c>
    </row>
    <row r="5" spans="1:21" ht="12.75">
      <c r="A5" s="199" t="s">
        <v>174</v>
      </c>
      <c r="B5" s="200">
        <v>50</v>
      </c>
      <c r="C5" s="185">
        <f>1/B5</f>
        <v>0.02</v>
      </c>
      <c r="D5" s="201">
        <v>350000000</v>
      </c>
      <c r="E5" s="202"/>
      <c r="F5" s="202"/>
      <c r="G5" s="202"/>
      <c r="H5" s="202"/>
      <c r="I5" s="202">
        <f>$C$5*$D$5</f>
        <v>7000000</v>
      </c>
      <c r="J5" s="202">
        <f aca="true" t="shared" si="1" ref="J5:U5">$C$5*$D$5</f>
        <v>7000000</v>
      </c>
      <c r="K5" s="202">
        <f t="shared" si="1"/>
        <v>7000000</v>
      </c>
      <c r="L5" s="202">
        <f t="shared" si="1"/>
        <v>7000000</v>
      </c>
      <c r="M5" s="202">
        <f t="shared" si="1"/>
        <v>7000000</v>
      </c>
      <c r="N5" s="202">
        <f t="shared" si="1"/>
        <v>7000000</v>
      </c>
      <c r="O5" s="202">
        <f t="shared" si="1"/>
        <v>7000000</v>
      </c>
      <c r="P5" s="202">
        <f t="shared" si="1"/>
        <v>7000000</v>
      </c>
      <c r="Q5" s="202">
        <f t="shared" si="1"/>
        <v>7000000</v>
      </c>
      <c r="R5" s="202">
        <f t="shared" si="1"/>
        <v>7000000</v>
      </c>
      <c r="S5" s="202">
        <f t="shared" si="1"/>
        <v>7000000</v>
      </c>
      <c r="T5" s="202">
        <f t="shared" si="1"/>
        <v>7000000</v>
      </c>
      <c r="U5" s="202">
        <f t="shared" si="1"/>
        <v>7000000</v>
      </c>
    </row>
    <row r="6" spans="1:21" ht="12.75">
      <c r="A6" s="199" t="s">
        <v>175</v>
      </c>
      <c r="B6" s="200">
        <v>50</v>
      </c>
      <c r="C6" s="185">
        <f>1/B6</f>
        <v>0.02</v>
      </c>
      <c r="D6" s="201">
        <v>350000000</v>
      </c>
      <c r="E6" s="202"/>
      <c r="F6" s="202"/>
      <c r="G6" s="202"/>
      <c r="H6" s="202"/>
      <c r="I6" s="202"/>
      <c r="J6" s="202"/>
      <c r="K6" s="202"/>
      <c r="L6" s="202"/>
      <c r="M6" s="202">
        <f>$C$6*$D$6</f>
        <v>7000000</v>
      </c>
      <c r="N6" s="202">
        <f aca="true" t="shared" si="2" ref="N6:U6">$C$6*$D$6</f>
        <v>7000000</v>
      </c>
      <c r="O6" s="202">
        <f t="shared" si="2"/>
        <v>7000000</v>
      </c>
      <c r="P6" s="202">
        <f t="shared" si="2"/>
        <v>7000000</v>
      </c>
      <c r="Q6" s="202">
        <f t="shared" si="2"/>
        <v>7000000</v>
      </c>
      <c r="R6" s="202">
        <f t="shared" si="2"/>
        <v>7000000</v>
      </c>
      <c r="S6" s="202">
        <f t="shared" si="2"/>
        <v>7000000</v>
      </c>
      <c r="T6" s="202">
        <f t="shared" si="2"/>
        <v>7000000</v>
      </c>
      <c r="U6" s="202">
        <f t="shared" si="2"/>
        <v>7000000</v>
      </c>
    </row>
    <row r="7" spans="1:21" ht="13.5" thickBot="1">
      <c r="A7" s="188" t="s">
        <v>124</v>
      </c>
      <c r="B7" s="189"/>
      <c r="C7" s="190"/>
      <c r="D7" s="191">
        <f>SUM(D4:D6)</f>
        <v>879700000</v>
      </c>
      <c r="E7" s="191">
        <f>SUM(E4:E6)</f>
        <v>17970000</v>
      </c>
      <c r="F7" s="191">
        <f aca="true" t="shared" si="3" ref="F7:U7">SUM(F4:F6)</f>
        <v>17970000</v>
      </c>
      <c r="G7" s="191">
        <f t="shared" si="3"/>
        <v>17970000</v>
      </c>
      <c r="H7" s="191">
        <f t="shared" si="3"/>
        <v>17970000</v>
      </c>
      <c r="I7" s="191">
        <f t="shared" si="3"/>
        <v>24970000</v>
      </c>
      <c r="J7" s="191">
        <f t="shared" si="3"/>
        <v>24970000</v>
      </c>
      <c r="K7" s="191">
        <f t="shared" si="3"/>
        <v>24970000</v>
      </c>
      <c r="L7" s="191">
        <f t="shared" si="3"/>
        <v>24970000</v>
      </c>
      <c r="M7" s="191">
        <f t="shared" si="3"/>
        <v>31970000</v>
      </c>
      <c r="N7" s="191">
        <f t="shared" si="3"/>
        <v>31970000</v>
      </c>
      <c r="O7" s="191">
        <f t="shared" si="3"/>
        <v>31970000</v>
      </c>
      <c r="P7" s="191">
        <f t="shared" si="3"/>
        <v>31970000</v>
      </c>
      <c r="Q7" s="191">
        <f t="shared" si="3"/>
        <v>31970000</v>
      </c>
      <c r="R7" s="191">
        <f t="shared" si="3"/>
        <v>31970000</v>
      </c>
      <c r="S7" s="191">
        <f t="shared" si="3"/>
        <v>31970000</v>
      </c>
      <c r="T7" s="191">
        <f t="shared" si="3"/>
        <v>31970000</v>
      </c>
      <c r="U7" s="191">
        <f t="shared" si="3"/>
        <v>31970000</v>
      </c>
    </row>
    <row r="8" ht="12.75">
      <c r="C8" s="198"/>
    </row>
    <row r="15" ht="12.75">
      <c r="C15" s="192"/>
    </row>
    <row r="17" ht="12.75">
      <c r="C17" s="19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9"/>
  <sheetViews>
    <sheetView tabSelected="1" zoomScale="80" zoomScaleNormal="80" zoomScaleSheetLayoutView="100" zoomScalePageLayoutView="0" workbookViewId="0" topLeftCell="A1">
      <pane xSplit="1" ySplit="4" topLeftCell="K7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6384"/>
    </sheetView>
  </sheetViews>
  <sheetFormatPr defaultColWidth="11.421875" defaultRowHeight="12.75"/>
  <cols>
    <col min="1" max="1" width="68.7109375" style="194" customWidth="1"/>
    <col min="2" max="2" width="15.57421875" style="194" customWidth="1"/>
    <col min="3" max="3" width="16.421875" style="194" customWidth="1"/>
    <col min="4" max="4" width="18.00390625" style="194" customWidth="1"/>
    <col min="5" max="5" width="17.421875" style="194" customWidth="1"/>
    <col min="6" max="6" width="17.140625" style="194" customWidth="1"/>
    <col min="7" max="7" width="17.421875" style="194" customWidth="1"/>
    <col min="8" max="8" width="18.140625" style="194" customWidth="1"/>
    <col min="9" max="9" width="20.7109375" style="194" customWidth="1"/>
    <col min="10" max="10" width="22.57421875" style="194" customWidth="1"/>
    <col min="11" max="11" width="21.28125" style="194" customWidth="1"/>
    <col min="12" max="12" width="20.8515625" style="194" customWidth="1"/>
    <col min="13" max="13" width="21.421875" style="194" customWidth="1"/>
    <col min="14" max="14" width="21.57421875" style="194" customWidth="1"/>
    <col min="15" max="15" width="21.421875" style="194" customWidth="1"/>
    <col min="16" max="16" width="22.00390625" style="194" customWidth="1"/>
    <col min="17" max="17" width="22.7109375" style="194" customWidth="1"/>
    <col min="18" max="18" width="18.421875" style="194" customWidth="1"/>
    <col min="19" max="16384" width="11.421875" style="194" customWidth="1"/>
  </cols>
  <sheetData>
    <row r="1" spans="1:7" ht="15" customHeight="1">
      <c r="A1" s="211" t="s">
        <v>128</v>
      </c>
      <c r="B1" s="211"/>
      <c r="C1" s="211"/>
      <c r="D1" s="211"/>
      <c r="E1" s="211"/>
      <c r="F1" s="211"/>
      <c r="G1" s="211"/>
    </row>
    <row r="2" spans="2:14" ht="12.75" hidden="1">
      <c r="B2" s="194" t="e">
        <f>+B4-#REF!</f>
        <v>#REF!</v>
      </c>
      <c r="D2" s="194" t="e">
        <f>+D4-#REF!</f>
        <v>#REF!</v>
      </c>
      <c r="E2" s="194" t="e">
        <f>+E4-#REF!</f>
        <v>#REF!</v>
      </c>
      <c r="F2" s="194" t="e">
        <f>+F4-#REF!</f>
        <v>#REF!</v>
      </c>
      <c r="G2" s="194" t="e">
        <f>+G4-#REF!</f>
        <v>#REF!</v>
      </c>
      <c r="H2" s="194" t="e">
        <f>+H4-#REF!</f>
        <v>#REF!</v>
      </c>
      <c r="I2" s="194" t="e">
        <f>+I4-#REF!</f>
        <v>#REF!</v>
      </c>
      <c r="J2" s="194" t="e">
        <f>+J4-#REF!</f>
        <v>#REF!</v>
      </c>
      <c r="K2" s="194" t="e">
        <f>+K4-#REF!</f>
        <v>#REF!</v>
      </c>
      <c r="L2" s="194" t="e">
        <f>+L4-#REF!</f>
        <v>#REF!</v>
      </c>
      <c r="M2" s="194" t="e">
        <f>+M4-#REF!</f>
        <v>#REF!</v>
      </c>
      <c r="N2" s="194" t="e">
        <f>+N4-#REF!</f>
        <v>#REF!</v>
      </c>
    </row>
    <row r="3" spans="2:14" ht="12.75" hidden="1">
      <c r="B3" s="194" t="e">
        <f>+#REF!+1</f>
        <v>#REF!</v>
      </c>
      <c r="D3" s="194" t="e">
        <f>+B3+1</f>
        <v>#REF!</v>
      </c>
      <c r="E3" s="194" t="e">
        <f aca="true" t="shared" si="0" ref="E3:N3">+D3+1</f>
        <v>#REF!</v>
      </c>
      <c r="F3" s="194" t="e">
        <f t="shared" si="0"/>
        <v>#REF!</v>
      </c>
      <c r="G3" s="194" t="e">
        <f t="shared" si="0"/>
        <v>#REF!</v>
      </c>
      <c r="H3" s="194" t="e">
        <f>+#REF!+1</f>
        <v>#REF!</v>
      </c>
      <c r="I3" s="194" t="e">
        <f t="shared" si="0"/>
        <v>#REF!</v>
      </c>
      <c r="J3" s="194" t="e">
        <f t="shared" si="0"/>
        <v>#REF!</v>
      </c>
      <c r="K3" s="194" t="e">
        <f t="shared" si="0"/>
        <v>#REF!</v>
      </c>
      <c r="L3" s="194" t="e">
        <f t="shared" si="0"/>
        <v>#REF!</v>
      </c>
      <c r="M3" s="194" t="e">
        <f t="shared" si="0"/>
        <v>#REF!</v>
      </c>
      <c r="N3" s="194" t="e">
        <f t="shared" si="0"/>
        <v>#REF!</v>
      </c>
    </row>
    <row r="4" spans="1:18" ht="12.75">
      <c r="A4" s="212" t="s">
        <v>0</v>
      </c>
      <c r="B4" s="212">
        <v>2022</v>
      </c>
      <c r="C4" s="213" t="s">
        <v>96</v>
      </c>
      <c r="D4" s="213" t="s">
        <v>97</v>
      </c>
      <c r="E4" s="213" t="s">
        <v>98</v>
      </c>
      <c r="F4" s="213" t="s">
        <v>99</v>
      </c>
      <c r="G4" s="213" t="s">
        <v>100</v>
      </c>
      <c r="H4" s="213" t="s">
        <v>101</v>
      </c>
      <c r="I4" s="213" t="s">
        <v>102</v>
      </c>
      <c r="J4" s="213" t="s">
        <v>103</v>
      </c>
      <c r="K4" s="213" t="s">
        <v>104</v>
      </c>
      <c r="L4" s="213" t="s">
        <v>105</v>
      </c>
      <c r="M4" s="213" t="s">
        <v>106</v>
      </c>
      <c r="N4" s="213" t="s">
        <v>107</v>
      </c>
      <c r="O4" s="213" t="s">
        <v>108</v>
      </c>
      <c r="P4" s="213" t="s">
        <v>109</v>
      </c>
      <c r="Q4" s="213" t="s">
        <v>110</v>
      </c>
      <c r="R4" s="213" t="s">
        <v>144</v>
      </c>
    </row>
    <row r="5" spans="1:18" ht="12.75">
      <c r="A5" s="206" t="s">
        <v>168</v>
      </c>
      <c r="B5" s="209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09"/>
    </row>
    <row r="6" spans="1:18" ht="12.75">
      <c r="A6" s="206" t="s">
        <v>140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</row>
    <row r="7" spans="1:18" ht="12.75">
      <c r="A7" s="209" t="s">
        <v>111</v>
      </c>
      <c r="B7" s="215">
        <v>215800</v>
      </c>
      <c r="C7" s="215">
        <f>$B$7*((1+0.03)^(C4-$B$4))</f>
        <v>222274</v>
      </c>
      <c r="D7" s="215">
        <f aca="true" t="shared" si="1" ref="D7:R7">$B$7*((1+0.03)^(D4-$B$4))</f>
        <v>228942.22</v>
      </c>
      <c r="E7" s="215">
        <f t="shared" si="1"/>
        <v>235810.4866</v>
      </c>
      <c r="F7" s="215">
        <f t="shared" si="1"/>
        <v>242884.80119799997</v>
      </c>
      <c r="G7" s="215">
        <f t="shared" si="1"/>
        <v>250171.34523393997</v>
      </c>
      <c r="H7" s="215">
        <f t="shared" si="1"/>
        <v>257676.48559095818</v>
      </c>
      <c r="I7" s="215">
        <f t="shared" si="1"/>
        <v>265406.7801586869</v>
      </c>
      <c r="J7" s="215">
        <f t="shared" si="1"/>
        <v>273368.98356344755</v>
      </c>
      <c r="K7" s="215">
        <f t="shared" si="1"/>
        <v>281570.05307035096</v>
      </c>
      <c r="L7" s="215">
        <f t="shared" si="1"/>
        <v>290017.1546624615</v>
      </c>
      <c r="M7" s="215">
        <f t="shared" si="1"/>
        <v>298717.66930233536</v>
      </c>
      <c r="N7" s="215">
        <f t="shared" si="1"/>
        <v>307679.1993814054</v>
      </c>
      <c r="O7" s="215">
        <f t="shared" si="1"/>
        <v>316909.5753628475</v>
      </c>
      <c r="P7" s="215">
        <f t="shared" si="1"/>
        <v>326416.86262373294</v>
      </c>
      <c r="Q7" s="215">
        <f t="shared" si="1"/>
        <v>336209.36850244494</v>
      </c>
      <c r="R7" s="215">
        <f t="shared" si="1"/>
        <v>346295.64955751825</v>
      </c>
    </row>
    <row r="8" spans="1:18" ht="12.75">
      <c r="A8" s="209" t="s">
        <v>112</v>
      </c>
      <c r="B8" s="215">
        <v>4</v>
      </c>
      <c r="C8" s="215">
        <v>4</v>
      </c>
      <c r="D8" s="215">
        <v>4</v>
      </c>
      <c r="E8" s="215">
        <v>4</v>
      </c>
      <c r="F8" s="215">
        <v>4</v>
      </c>
      <c r="G8" s="215">
        <v>4</v>
      </c>
      <c r="H8" s="215">
        <v>4</v>
      </c>
      <c r="I8" s="215">
        <v>4</v>
      </c>
      <c r="J8" s="215">
        <v>4</v>
      </c>
      <c r="K8" s="215">
        <v>4</v>
      </c>
      <c r="L8" s="215">
        <v>4</v>
      </c>
      <c r="M8" s="215">
        <v>4</v>
      </c>
      <c r="N8" s="215">
        <v>4</v>
      </c>
      <c r="O8" s="215">
        <v>4</v>
      </c>
      <c r="P8" s="215">
        <v>4</v>
      </c>
      <c r="Q8" s="215">
        <v>4</v>
      </c>
      <c r="R8" s="209">
        <v>4</v>
      </c>
    </row>
    <row r="9" spans="1:18" ht="12.75">
      <c r="A9" s="209" t="s">
        <v>147</v>
      </c>
      <c r="B9" s="216">
        <f aca="true" t="shared" si="2" ref="B9:R9">B7/B8</f>
        <v>53950</v>
      </c>
      <c r="C9" s="216">
        <f>C7/C8</f>
        <v>55568.5</v>
      </c>
      <c r="D9" s="216">
        <f t="shared" si="2"/>
        <v>57235.555</v>
      </c>
      <c r="E9" s="216">
        <f t="shared" si="2"/>
        <v>58952.62165</v>
      </c>
      <c r="F9" s="216">
        <f t="shared" si="2"/>
        <v>60721.20029949999</v>
      </c>
      <c r="G9" s="216">
        <f t="shared" si="2"/>
        <v>62542.83630848499</v>
      </c>
      <c r="H9" s="216">
        <f t="shared" si="2"/>
        <v>64419.121397739546</v>
      </c>
      <c r="I9" s="216">
        <f t="shared" si="2"/>
        <v>66351.69503967173</v>
      </c>
      <c r="J9" s="216">
        <f t="shared" si="2"/>
        <v>68342.24589086189</v>
      </c>
      <c r="K9" s="216">
        <f t="shared" si="2"/>
        <v>70392.51326758774</v>
      </c>
      <c r="L9" s="216">
        <f t="shared" si="2"/>
        <v>72504.28866561537</v>
      </c>
      <c r="M9" s="216">
        <f t="shared" si="2"/>
        <v>74679.41732558384</v>
      </c>
      <c r="N9" s="216">
        <f t="shared" si="2"/>
        <v>76919.79984535134</v>
      </c>
      <c r="O9" s="216">
        <f t="shared" si="2"/>
        <v>79227.39384071187</v>
      </c>
      <c r="P9" s="216">
        <f t="shared" si="2"/>
        <v>81604.21565593324</v>
      </c>
      <c r="Q9" s="216">
        <f t="shared" si="2"/>
        <v>84052.34212561123</v>
      </c>
      <c r="R9" s="216">
        <f t="shared" si="2"/>
        <v>86573.91238937956</v>
      </c>
    </row>
    <row r="10" spans="1:18" ht="12.75">
      <c r="A10" s="209" t="s">
        <v>176</v>
      </c>
      <c r="B10" s="217">
        <v>0.7</v>
      </c>
      <c r="C10" s="217">
        <v>0.6</v>
      </c>
      <c r="D10" s="217">
        <v>0.6</v>
      </c>
      <c r="E10" s="217">
        <v>0.6</v>
      </c>
      <c r="F10" s="217">
        <v>0.6</v>
      </c>
      <c r="G10" s="217">
        <v>0.6</v>
      </c>
      <c r="H10" s="217">
        <v>0.6</v>
      </c>
      <c r="I10" s="217">
        <v>0.6</v>
      </c>
      <c r="J10" s="217">
        <v>0.5</v>
      </c>
      <c r="K10" s="217">
        <v>0.5</v>
      </c>
      <c r="L10" s="218">
        <v>0.5</v>
      </c>
      <c r="M10" s="218">
        <v>0.5</v>
      </c>
      <c r="N10" s="218">
        <v>0.4</v>
      </c>
      <c r="O10" s="218">
        <v>0.4</v>
      </c>
      <c r="P10" s="218">
        <v>0.3</v>
      </c>
      <c r="Q10" s="218">
        <v>0.3</v>
      </c>
      <c r="R10" s="218">
        <v>0.3</v>
      </c>
    </row>
    <row r="11" spans="1:18" ht="12.75">
      <c r="A11" s="209" t="s">
        <v>152</v>
      </c>
      <c r="B11" s="216">
        <f>B9*B10/1.5</f>
        <v>25176.666666666668</v>
      </c>
      <c r="C11" s="216">
        <f>C9*C10</f>
        <v>33341.1</v>
      </c>
      <c r="D11" s="216">
        <f aca="true" t="shared" si="3" ref="D11:R11">D9*D10</f>
        <v>34341.333</v>
      </c>
      <c r="E11" s="216">
        <f t="shared" si="3"/>
        <v>35371.57299</v>
      </c>
      <c r="F11" s="216">
        <f t="shared" si="3"/>
        <v>36432.720179699994</v>
      </c>
      <c r="G11" s="216">
        <f t="shared" si="3"/>
        <v>37525.70178509099</v>
      </c>
      <c r="H11" s="216">
        <f t="shared" si="3"/>
        <v>38651.47283864373</v>
      </c>
      <c r="I11" s="216">
        <f t="shared" si="3"/>
        <v>39811.01702380303</v>
      </c>
      <c r="J11" s="216">
        <f t="shared" si="3"/>
        <v>34171.12294543094</v>
      </c>
      <c r="K11" s="216">
        <f t="shared" si="3"/>
        <v>35196.25663379387</v>
      </c>
      <c r="L11" s="216">
        <f t="shared" si="3"/>
        <v>36252.144332807686</v>
      </c>
      <c r="M11" s="216">
        <f t="shared" si="3"/>
        <v>37339.70866279192</v>
      </c>
      <c r="N11" s="216">
        <f t="shared" si="3"/>
        <v>30767.919938140538</v>
      </c>
      <c r="O11" s="216">
        <f t="shared" si="3"/>
        <v>31690.95753628475</v>
      </c>
      <c r="P11" s="216">
        <f t="shared" si="3"/>
        <v>24481.26469677997</v>
      </c>
      <c r="Q11" s="216">
        <f t="shared" si="3"/>
        <v>25215.70263768337</v>
      </c>
      <c r="R11" s="216">
        <f t="shared" si="3"/>
        <v>25972.173716813868</v>
      </c>
    </row>
    <row r="12" spans="1:18" ht="12.75" hidden="1">
      <c r="A12" s="209" t="s">
        <v>45</v>
      </c>
      <c r="B12" s="219"/>
      <c r="C12" s="219"/>
      <c r="D12" s="219"/>
      <c r="E12" s="216">
        <f>+$D12+($G12-$D12)*(E$4-$D$4)/3</f>
        <v>0</v>
      </c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09"/>
    </row>
    <row r="13" spans="1:18" ht="12.75">
      <c r="A13" s="209" t="s">
        <v>177</v>
      </c>
      <c r="B13" s="217">
        <v>0.1</v>
      </c>
      <c r="C13" s="217">
        <v>0.2</v>
      </c>
      <c r="D13" s="217">
        <v>0.2</v>
      </c>
      <c r="E13" s="217">
        <v>0.25</v>
      </c>
      <c r="F13" s="217">
        <v>0.25</v>
      </c>
      <c r="G13" s="217">
        <v>0.25</v>
      </c>
      <c r="H13" s="217">
        <v>0.3</v>
      </c>
      <c r="I13" s="217">
        <v>0.3</v>
      </c>
      <c r="J13" s="217">
        <v>0.4</v>
      </c>
      <c r="K13" s="217">
        <v>0.4</v>
      </c>
      <c r="L13" s="217">
        <v>0.5</v>
      </c>
      <c r="M13" s="217">
        <v>0.5</v>
      </c>
      <c r="N13" s="217">
        <v>0.6</v>
      </c>
      <c r="O13" s="217">
        <v>0.6</v>
      </c>
      <c r="P13" s="217">
        <v>0.7</v>
      </c>
      <c r="Q13" s="217">
        <v>0.7</v>
      </c>
      <c r="R13" s="217">
        <v>0.7</v>
      </c>
    </row>
    <row r="14" spans="1:18" ht="12.75">
      <c r="A14" s="209" t="s">
        <v>153</v>
      </c>
      <c r="B14" s="216">
        <f>B9*B13/1.5</f>
        <v>3596.6666666666665</v>
      </c>
      <c r="C14" s="216">
        <f>C9*C13</f>
        <v>11113.7</v>
      </c>
      <c r="D14" s="216">
        <f>D9*D13</f>
        <v>11447.111</v>
      </c>
      <c r="E14" s="216">
        <f aca="true" t="shared" si="4" ref="E14:R14">E9*E13</f>
        <v>14738.1554125</v>
      </c>
      <c r="F14" s="216">
        <f t="shared" si="4"/>
        <v>15180.300074874998</v>
      </c>
      <c r="G14" s="216">
        <f t="shared" si="4"/>
        <v>15635.709077121248</v>
      </c>
      <c r="H14" s="216">
        <f t="shared" si="4"/>
        <v>19325.736419321864</v>
      </c>
      <c r="I14" s="216">
        <f t="shared" si="4"/>
        <v>19905.508511901517</v>
      </c>
      <c r="J14" s="216">
        <f t="shared" si="4"/>
        <v>27336.898356344755</v>
      </c>
      <c r="K14" s="216">
        <f t="shared" si="4"/>
        <v>28157.0053070351</v>
      </c>
      <c r="L14" s="216">
        <f t="shared" si="4"/>
        <v>36252.144332807686</v>
      </c>
      <c r="M14" s="216">
        <f t="shared" si="4"/>
        <v>37339.70866279192</v>
      </c>
      <c r="N14" s="216">
        <f t="shared" si="4"/>
        <v>46151.8799072108</v>
      </c>
      <c r="O14" s="216">
        <f t="shared" si="4"/>
        <v>47536.43630442712</v>
      </c>
      <c r="P14" s="216">
        <f t="shared" si="4"/>
        <v>57122.95095915326</v>
      </c>
      <c r="Q14" s="216">
        <f t="shared" si="4"/>
        <v>58836.63948792786</v>
      </c>
      <c r="R14" s="216">
        <f t="shared" si="4"/>
        <v>60601.73867256569</v>
      </c>
    </row>
    <row r="15" spans="1:18" ht="12.75">
      <c r="A15" s="209" t="s">
        <v>151</v>
      </c>
      <c r="B15" s="216">
        <v>50</v>
      </c>
      <c r="C15" s="216">
        <f>B15</f>
        <v>50</v>
      </c>
      <c r="D15" s="216">
        <f>C15</f>
        <v>50</v>
      </c>
      <c r="E15" s="216">
        <f>D15</f>
        <v>50</v>
      </c>
      <c r="F15" s="216">
        <f>E15*1.1</f>
        <v>55.00000000000001</v>
      </c>
      <c r="G15" s="216">
        <f>F15</f>
        <v>55.00000000000001</v>
      </c>
      <c r="H15" s="216">
        <f>G15</f>
        <v>55.00000000000001</v>
      </c>
      <c r="I15" s="216">
        <f>H15</f>
        <v>55.00000000000001</v>
      </c>
      <c r="J15" s="216">
        <f>I15</f>
        <v>55.00000000000001</v>
      </c>
      <c r="K15" s="216">
        <f>60</f>
        <v>60</v>
      </c>
      <c r="L15" s="216">
        <f>60</f>
        <v>60</v>
      </c>
      <c r="M15" s="216">
        <f>60</f>
        <v>60</v>
      </c>
      <c r="N15" s="216">
        <f>60</f>
        <v>60</v>
      </c>
      <c r="O15" s="216">
        <f>60</f>
        <v>60</v>
      </c>
      <c r="P15" s="216">
        <f>60</f>
        <v>60</v>
      </c>
      <c r="Q15" s="216">
        <f>60</f>
        <v>60</v>
      </c>
      <c r="R15" s="216">
        <f>60</f>
        <v>60</v>
      </c>
    </row>
    <row r="16" spans="1:18" ht="12.75">
      <c r="A16" s="209" t="s">
        <v>150</v>
      </c>
      <c r="B16" s="216">
        <v>13</v>
      </c>
      <c r="C16" s="216">
        <v>13</v>
      </c>
      <c r="D16" s="216">
        <v>13</v>
      </c>
      <c r="E16" s="216">
        <v>13</v>
      </c>
      <c r="F16" s="216">
        <v>13</v>
      </c>
      <c r="G16" s="216">
        <v>13</v>
      </c>
      <c r="H16" s="216">
        <v>13</v>
      </c>
      <c r="I16" s="216">
        <v>13</v>
      </c>
      <c r="J16" s="216">
        <v>13</v>
      </c>
      <c r="K16" s="216">
        <v>13</v>
      </c>
      <c r="L16" s="216">
        <v>13</v>
      </c>
      <c r="M16" s="216">
        <v>13</v>
      </c>
      <c r="N16" s="216">
        <v>13</v>
      </c>
      <c r="O16" s="216">
        <v>13</v>
      </c>
      <c r="P16" s="216">
        <v>13</v>
      </c>
      <c r="Q16" s="216">
        <v>13</v>
      </c>
      <c r="R16" s="216">
        <v>13</v>
      </c>
    </row>
    <row r="17" spans="1:18" ht="12.75">
      <c r="A17" s="209" t="s">
        <v>154</v>
      </c>
      <c r="B17" s="220">
        <v>0.25</v>
      </c>
      <c r="C17" s="220">
        <v>0.25</v>
      </c>
      <c r="D17" s="220">
        <v>0.25</v>
      </c>
      <c r="E17" s="220">
        <v>0.25</v>
      </c>
      <c r="F17" s="220">
        <v>0.25</v>
      </c>
      <c r="G17" s="220">
        <v>0.25</v>
      </c>
      <c r="H17" s="220">
        <v>0.25</v>
      </c>
      <c r="I17" s="220">
        <v>0.25</v>
      </c>
      <c r="J17" s="220">
        <v>0.25</v>
      </c>
      <c r="K17" s="220">
        <v>0.25</v>
      </c>
      <c r="L17" s="220">
        <v>0.25</v>
      </c>
      <c r="M17" s="220">
        <v>0.25</v>
      </c>
      <c r="N17" s="220">
        <v>0.25</v>
      </c>
      <c r="O17" s="220">
        <v>0.25</v>
      </c>
      <c r="P17" s="220">
        <v>0.25</v>
      </c>
      <c r="Q17" s="220">
        <v>0.25</v>
      </c>
      <c r="R17" s="220">
        <v>0.25</v>
      </c>
    </row>
    <row r="18" spans="1:18" ht="12.75">
      <c r="A18" s="209" t="s">
        <v>155</v>
      </c>
      <c r="B18" s="220">
        <v>0.15</v>
      </c>
      <c r="C18" s="220">
        <v>0.15</v>
      </c>
      <c r="D18" s="220">
        <v>0.15</v>
      </c>
      <c r="E18" s="220">
        <v>0.15</v>
      </c>
      <c r="F18" s="220">
        <v>0.15</v>
      </c>
      <c r="G18" s="220">
        <v>0.15</v>
      </c>
      <c r="H18" s="220">
        <v>0.15</v>
      </c>
      <c r="I18" s="220">
        <v>0.15</v>
      </c>
      <c r="J18" s="220">
        <v>0.15</v>
      </c>
      <c r="K18" s="220">
        <v>0.15</v>
      </c>
      <c r="L18" s="220">
        <v>0.15</v>
      </c>
      <c r="M18" s="220">
        <v>0.15</v>
      </c>
      <c r="N18" s="220">
        <v>0.15</v>
      </c>
      <c r="O18" s="220">
        <v>0.15</v>
      </c>
      <c r="P18" s="220">
        <v>0.15</v>
      </c>
      <c r="Q18" s="220">
        <v>0.15</v>
      </c>
      <c r="R18" s="220">
        <v>0.15</v>
      </c>
    </row>
    <row r="19" spans="1:18" ht="12.75">
      <c r="A19" s="209" t="s">
        <v>178</v>
      </c>
      <c r="B19" s="207">
        <f aca="true" t="shared" si="5" ref="B19:R19">(B7)*B10*B18*360/1000</f>
        <v>8157.24</v>
      </c>
      <c r="C19" s="207">
        <f>(C7)*C10*C18*360/1000</f>
        <v>7201.6776</v>
      </c>
      <c r="D19" s="207">
        <f t="shared" si="5"/>
        <v>7417.727927999999</v>
      </c>
      <c r="E19" s="207">
        <f t="shared" si="5"/>
        <v>7640.259765839999</v>
      </c>
      <c r="F19" s="207">
        <f t="shared" si="5"/>
        <v>7869.467558815198</v>
      </c>
      <c r="G19" s="207">
        <f t="shared" si="5"/>
        <v>8105.551585579653</v>
      </c>
      <c r="H19" s="207">
        <f t="shared" si="5"/>
        <v>8348.718133147044</v>
      </c>
      <c r="I19" s="207">
        <f t="shared" si="5"/>
        <v>8599.179677141456</v>
      </c>
      <c r="J19" s="207">
        <f t="shared" si="5"/>
        <v>7380.962556213084</v>
      </c>
      <c r="K19" s="207">
        <f t="shared" si="5"/>
        <v>7602.391432899475</v>
      </c>
      <c r="L19" s="207">
        <f t="shared" si="5"/>
        <v>7830.463175886461</v>
      </c>
      <c r="M19" s="207">
        <f t="shared" si="5"/>
        <v>8065.377071163055</v>
      </c>
      <c r="N19" s="207">
        <f t="shared" si="5"/>
        <v>6645.870706638356</v>
      </c>
      <c r="O19" s="207">
        <f t="shared" si="5"/>
        <v>6845.246827837506</v>
      </c>
      <c r="P19" s="207">
        <f t="shared" si="5"/>
        <v>5287.953174504473</v>
      </c>
      <c r="Q19" s="207">
        <f t="shared" si="5"/>
        <v>5446.591769739608</v>
      </c>
      <c r="R19" s="207">
        <f t="shared" si="5"/>
        <v>5609.9895228317955</v>
      </c>
    </row>
    <row r="20" spans="1:18" ht="12.75">
      <c r="A20" s="209" t="s">
        <v>179</v>
      </c>
      <c r="B20" s="207">
        <f>(B7)*B13*B18*360/1000</f>
        <v>1165.32</v>
      </c>
      <c r="C20" s="207">
        <f aca="true" t="shared" si="6" ref="C20:R20">(C7)*C13*C18*360/1000</f>
        <v>2400.5592</v>
      </c>
      <c r="D20" s="207">
        <f t="shared" si="6"/>
        <v>2472.5759759999996</v>
      </c>
      <c r="E20" s="207">
        <f t="shared" si="6"/>
        <v>3183.4415691</v>
      </c>
      <c r="F20" s="207">
        <f t="shared" si="6"/>
        <v>3278.9448161729993</v>
      </c>
      <c r="G20" s="207">
        <f t="shared" si="6"/>
        <v>3377.313160658189</v>
      </c>
      <c r="H20" s="207">
        <f t="shared" si="6"/>
        <v>4174.359066573522</v>
      </c>
      <c r="I20" s="207">
        <f t="shared" si="6"/>
        <v>4299.589838570728</v>
      </c>
      <c r="J20" s="207">
        <f t="shared" si="6"/>
        <v>5904.770044970467</v>
      </c>
      <c r="K20" s="207">
        <f t="shared" si="6"/>
        <v>6081.913146319581</v>
      </c>
      <c r="L20" s="207">
        <f t="shared" si="6"/>
        <v>7830.463175886461</v>
      </c>
      <c r="M20" s="207">
        <f t="shared" si="6"/>
        <v>8065.377071163055</v>
      </c>
      <c r="N20" s="207">
        <f t="shared" si="6"/>
        <v>9968.806059957533</v>
      </c>
      <c r="O20" s="207">
        <f t="shared" si="6"/>
        <v>10267.870241756258</v>
      </c>
      <c r="P20" s="207">
        <f t="shared" si="6"/>
        <v>12338.557407177106</v>
      </c>
      <c r="Q20" s="207">
        <f t="shared" si="6"/>
        <v>12708.714129392418</v>
      </c>
      <c r="R20" s="207">
        <f t="shared" si="6"/>
        <v>13089.975553274187</v>
      </c>
    </row>
    <row r="21" spans="1:18" ht="12.75">
      <c r="A21" s="209" t="s">
        <v>180</v>
      </c>
      <c r="B21" s="216">
        <f>B20*0.8</f>
        <v>932.256</v>
      </c>
      <c r="C21" s="216">
        <f aca="true" t="shared" si="7" ref="C21:R21">C20*0.8</f>
        <v>1920.4473600000001</v>
      </c>
      <c r="D21" s="216">
        <f t="shared" si="7"/>
        <v>1978.0607807999997</v>
      </c>
      <c r="E21" s="216">
        <f t="shared" si="7"/>
        <v>2546.7532552800003</v>
      </c>
      <c r="F21" s="216">
        <f t="shared" si="7"/>
        <v>2623.1558529383997</v>
      </c>
      <c r="G21" s="216">
        <f t="shared" si="7"/>
        <v>2701.8505285265514</v>
      </c>
      <c r="H21" s="216">
        <f t="shared" si="7"/>
        <v>3339.487253258818</v>
      </c>
      <c r="I21" s="216">
        <f t="shared" si="7"/>
        <v>3439.6718708565822</v>
      </c>
      <c r="J21" s="216">
        <f t="shared" si="7"/>
        <v>4723.816035976374</v>
      </c>
      <c r="K21" s="216">
        <f t="shared" si="7"/>
        <v>4865.530517055665</v>
      </c>
      <c r="L21" s="216">
        <f t="shared" si="7"/>
        <v>6264.370540709169</v>
      </c>
      <c r="M21" s="216">
        <f t="shared" si="7"/>
        <v>6452.301656930445</v>
      </c>
      <c r="N21" s="216">
        <f t="shared" si="7"/>
        <v>7975.044847966026</v>
      </c>
      <c r="O21" s="216">
        <f t="shared" si="7"/>
        <v>8214.296193405007</v>
      </c>
      <c r="P21" s="216">
        <f t="shared" si="7"/>
        <v>9870.845925741685</v>
      </c>
      <c r="Q21" s="216">
        <f t="shared" si="7"/>
        <v>10166.971303513936</v>
      </c>
      <c r="R21" s="216">
        <f t="shared" si="7"/>
        <v>10471.980442619351</v>
      </c>
    </row>
    <row r="22" spans="1:18" ht="12.75">
      <c r="A22" s="209" t="s">
        <v>181</v>
      </c>
      <c r="B22" s="216">
        <f>B20*0.2</f>
        <v>233.064</v>
      </c>
      <c r="C22" s="216">
        <f aca="true" t="shared" si="8" ref="C22:R22">C20*0.2</f>
        <v>480.11184000000003</v>
      </c>
      <c r="D22" s="216">
        <f t="shared" si="8"/>
        <v>494.51519519999994</v>
      </c>
      <c r="E22" s="216">
        <f t="shared" si="8"/>
        <v>636.6883138200001</v>
      </c>
      <c r="F22" s="216">
        <f t="shared" si="8"/>
        <v>655.7889632345999</v>
      </c>
      <c r="G22" s="216">
        <f t="shared" si="8"/>
        <v>675.4626321316379</v>
      </c>
      <c r="H22" s="216">
        <f t="shared" si="8"/>
        <v>834.8718133147045</v>
      </c>
      <c r="I22" s="216">
        <f t="shared" si="8"/>
        <v>859.9179677141456</v>
      </c>
      <c r="J22" s="216">
        <f t="shared" si="8"/>
        <v>1180.9540089940936</v>
      </c>
      <c r="K22" s="216">
        <f t="shared" si="8"/>
        <v>1216.3826292639162</v>
      </c>
      <c r="L22" s="216">
        <f t="shared" si="8"/>
        <v>1566.0926351772923</v>
      </c>
      <c r="M22" s="216">
        <f t="shared" si="8"/>
        <v>1613.0754142326111</v>
      </c>
      <c r="N22" s="216">
        <f t="shared" si="8"/>
        <v>1993.7612119915066</v>
      </c>
      <c r="O22" s="216">
        <f t="shared" si="8"/>
        <v>2053.574048351252</v>
      </c>
      <c r="P22" s="216">
        <f t="shared" si="8"/>
        <v>2467.7114814354213</v>
      </c>
      <c r="Q22" s="216">
        <f t="shared" si="8"/>
        <v>2541.742825878484</v>
      </c>
      <c r="R22" s="216">
        <f t="shared" si="8"/>
        <v>2617.995110654838</v>
      </c>
    </row>
    <row r="23" spans="1:18" ht="12.75">
      <c r="A23" s="209" t="s">
        <v>182</v>
      </c>
      <c r="B23" s="207">
        <f>2*B15</f>
        <v>100</v>
      </c>
      <c r="C23" s="207">
        <f aca="true" t="shared" si="9" ref="C23:R23">2*C15</f>
        <v>100</v>
      </c>
      <c r="D23" s="207">
        <f t="shared" si="9"/>
        <v>100</v>
      </c>
      <c r="E23" s="207">
        <f t="shared" si="9"/>
        <v>100</v>
      </c>
      <c r="F23" s="207">
        <f t="shared" si="9"/>
        <v>110.00000000000001</v>
      </c>
      <c r="G23" s="207">
        <f t="shared" si="9"/>
        <v>110.00000000000001</v>
      </c>
      <c r="H23" s="207">
        <f t="shared" si="9"/>
        <v>110.00000000000001</v>
      </c>
      <c r="I23" s="207">
        <f t="shared" si="9"/>
        <v>110.00000000000001</v>
      </c>
      <c r="J23" s="207">
        <f t="shared" si="9"/>
        <v>110.00000000000001</v>
      </c>
      <c r="K23" s="207">
        <f t="shared" si="9"/>
        <v>120</v>
      </c>
      <c r="L23" s="207">
        <f t="shared" si="9"/>
        <v>120</v>
      </c>
      <c r="M23" s="207">
        <f t="shared" si="9"/>
        <v>120</v>
      </c>
      <c r="N23" s="207">
        <f t="shared" si="9"/>
        <v>120</v>
      </c>
      <c r="O23" s="207">
        <f t="shared" si="9"/>
        <v>120</v>
      </c>
      <c r="P23" s="207">
        <f t="shared" si="9"/>
        <v>120</v>
      </c>
      <c r="Q23" s="207">
        <f t="shared" si="9"/>
        <v>120</v>
      </c>
      <c r="R23" s="207">
        <f t="shared" si="9"/>
        <v>120</v>
      </c>
    </row>
    <row r="24" spans="1:18" ht="12.75">
      <c r="A24" s="209" t="s">
        <v>183</v>
      </c>
      <c r="B24" s="207">
        <f>12*B16</f>
        <v>156</v>
      </c>
      <c r="C24" s="207">
        <f aca="true" t="shared" si="10" ref="C24:R24">12*C16</f>
        <v>156</v>
      </c>
      <c r="D24" s="207">
        <f t="shared" si="10"/>
        <v>156</v>
      </c>
      <c r="E24" s="207">
        <f t="shared" si="10"/>
        <v>156</v>
      </c>
      <c r="F24" s="207">
        <f t="shared" si="10"/>
        <v>156</v>
      </c>
      <c r="G24" s="207">
        <f t="shared" si="10"/>
        <v>156</v>
      </c>
      <c r="H24" s="207">
        <f t="shared" si="10"/>
        <v>156</v>
      </c>
      <c r="I24" s="207">
        <f t="shared" si="10"/>
        <v>156</v>
      </c>
      <c r="J24" s="207">
        <f t="shared" si="10"/>
        <v>156</v>
      </c>
      <c r="K24" s="207">
        <f t="shared" si="10"/>
        <v>156</v>
      </c>
      <c r="L24" s="207">
        <f t="shared" si="10"/>
        <v>156</v>
      </c>
      <c r="M24" s="207">
        <f t="shared" si="10"/>
        <v>156</v>
      </c>
      <c r="N24" s="207">
        <f t="shared" si="10"/>
        <v>156</v>
      </c>
      <c r="O24" s="207">
        <f t="shared" si="10"/>
        <v>156</v>
      </c>
      <c r="P24" s="207">
        <f t="shared" si="10"/>
        <v>156</v>
      </c>
      <c r="Q24" s="207">
        <f t="shared" si="10"/>
        <v>156</v>
      </c>
      <c r="R24" s="207">
        <f t="shared" si="10"/>
        <v>156</v>
      </c>
    </row>
    <row r="25" spans="1:18" ht="12.75">
      <c r="A25" s="206" t="s">
        <v>184</v>
      </c>
      <c r="B25" s="207">
        <f>B19+B20+B23+B24</f>
        <v>9578.56</v>
      </c>
      <c r="C25" s="207">
        <f>C19+C20+C23+C24</f>
        <v>9858.2368</v>
      </c>
      <c r="D25" s="207">
        <f>D19+D20+D23+D24</f>
        <v>10146.303903999999</v>
      </c>
      <c r="E25" s="207">
        <f aca="true" t="shared" si="11" ref="E25:R25">E19+E20+E23+E24</f>
        <v>11079.701334939999</v>
      </c>
      <c r="F25" s="207">
        <f t="shared" si="11"/>
        <v>11414.412374988196</v>
      </c>
      <c r="G25" s="207">
        <f t="shared" si="11"/>
        <v>11748.864746237843</v>
      </c>
      <c r="H25" s="207">
        <f t="shared" si="11"/>
        <v>12789.077199720567</v>
      </c>
      <c r="I25" s="207">
        <f t="shared" si="11"/>
        <v>13164.769515712183</v>
      </c>
      <c r="J25" s="207">
        <f t="shared" si="11"/>
        <v>13551.73260118355</v>
      </c>
      <c r="K25" s="207">
        <f t="shared" si="11"/>
        <v>13960.304579219057</v>
      </c>
      <c r="L25" s="207">
        <f t="shared" si="11"/>
        <v>15936.926351772921</v>
      </c>
      <c r="M25" s="207">
        <f t="shared" si="11"/>
        <v>16406.75414232611</v>
      </c>
      <c r="N25" s="207">
        <f t="shared" si="11"/>
        <v>16890.67676659589</v>
      </c>
      <c r="O25" s="207">
        <f t="shared" si="11"/>
        <v>17389.117069593765</v>
      </c>
      <c r="P25" s="207">
        <f t="shared" si="11"/>
        <v>17902.510581681578</v>
      </c>
      <c r="Q25" s="207">
        <f t="shared" si="11"/>
        <v>18431.305899132025</v>
      </c>
      <c r="R25" s="207">
        <f t="shared" si="11"/>
        <v>18975.965076105982</v>
      </c>
    </row>
    <row r="26" spans="1:18" ht="12.75">
      <c r="A26" s="209"/>
      <c r="B26" s="214"/>
      <c r="C26" s="214"/>
      <c r="D26" s="214"/>
      <c r="E26" s="214"/>
      <c r="F26" s="214"/>
      <c r="G26" s="214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</row>
    <row r="27" spans="1:18" ht="12.75">
      <c r="A27" s="206" t="s">
        <v>141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</row>
    <row r="28" spans="1:18" ht="12.75">
      <c r="A28" s="209" t="s">
        <v>145</v>
      </c>
      <c r="B28" s="216"/>
      <c r="C28" s="216">
        <v>170</v>
      </c>
      <c r="D28" s="216">
        <v>170</v>
      </c>
      <c r="E28" s="216">
        <v>170</v>
      </c>
      <c r="F28" s="216">
        <v>170</v>
      </c>
      <c r="G28" s="216">
        <v>170</v>
      </c>
      <c r="H28" s="216">
        <v>170</v>
      </c>
      <c r="I28" s="216">
        <v>170</v>
      </c>
      <c r="J28" s="216">
        <v>170</v>
      </c>
      <c r="K28" s="216">
        <v>170</v>
      </c>
      <c r="L28" s="216">
        <v>170</v>
      </c>
      <c r="M28" s="216">
        <v>170</v>
      </c>
      <c r="N28" s="216">
        <v>170</v>
      </c>
      <c r="O28" s="216">
        <v>170</v>
      </c>
      <c r="P28" s="216">
        <v>170</v>
      </c>
      <c r="Q28" s="216">
        <v>170</v>
      </c>
      <c r="R28" s="216">
        <v>170</v>
      </c>
    </row>
    <row r="29" spans="1:18" ht="12.75">
      <c r="A29" s="206" t="s">
        <v>146</v>
      </c>
      <c r="B29" s="207"/>
      <c r="C29" s="207">
        <f>C28*C44</f>
        <v>219279.532</v>
      </c>
      <c r="D29" s="207">
        <f aca="true" t="shared" si="12" ref="D29:R29">D28*D44</f>
        <v>225400.95795999994</v>
      </c>
      <c r="E29" s="207">
        <f t="shared" si="12"/>
        <v>269588.98137109</v>
      </c>
      <c r="F29" s="207">
        <f t="shared" si="12"/>
        <v>277814.69081222266</v>
      </c>
      <c r="G29" s="207">
        <f t="shared" si="12"/>
        <v>285674.3215365893</v>
      </c>
      <c r="H29" s="207">
        <f t="shared" si="12"/>
        <v>335165.46859287436</v>
      </c>
      <c r="I29" s="207">
        <f t="shared" si="12"/>
        <v>344745.6226506607</v>
      </c>
      <c r="J29" s="207">
        <f t="shared" si="12"/>
        <v>429898.999403554</v>
      </c>
      <c r="K29" s="207">
        <f t="shared" si="12"/>
        <v>442916.15938566055</v>
      </c>
      <c r="L29" s="207">
        <f t="shared" si="12"/>
        <v>548893.4959602793</v>
      </c>
      <c r="M29" s="207">
        <f t="shared" si="12"/>
        <v>564867.6408390877</v>
      </c>
      <c r="N29" s="207">
        <f t="shared" si="12"/>
        <v>666055.8615738993</v>
      </c>
      <c r="O29" s="207">
        <f t="shared" si="12"/>
        <v>685544.8774211161</v>
      </c>
      <c r="P29" s="207">
        <f t="shared" si="12"/>
        <v>795513.7677103258</v>
      </c>
      <c r="Q29" s="207">
        <f t="shared" si="12"/>
        <v>818886.5207416355</v>
      </c>
      <c r="R29" s="207">
        <f t="shared" si="12"/>
        <v>842960.4563638844</v>
      </c>
    </row>
    <row r="30" spans="1:18" ht="12.75">
      <c r="A30" s="206" t="s">
        <v>149</v>
      </c>
      <c r="B30" s="207"/>
      <c r="C30" s="207">
        <f aca="true" t="shared" si="13" ref="C30:R30">C29/1000</f>
        <v>219.27953200000002</v>
      </c>
      <c r="D30" s="207">
        <f t="shared" si="13"/>
        <v>225.40095795999994</v>
      </c>
      <c r="E30" s="207">
        <f t="shared" si="13"/>
        <v>269.58898137109</v>
      </c>
      <c r="F30" s="207">
        <f t="shared" si="13"/>
        <v>277.81469081222264</v>
      </c>
      <c r="G30" s="207">
        <f t="shared" si="13"/>
        <v>285.6743215365893</v>
      </c>
      <c r="H30" s="207">
        <f t="shared" si="13"/>
        <v>335.16546859287433</v>
      </c>
      <c r="I30" s="207">
        <f t="shared" si="13"/>
        <v>344.74562265066066</v>
      </c>
      <c r="J30" s="207">
        <f t="shared" si="13"/>
        <v>429.898999403554</v>
      </c>
      <c r="K30" s="207">
        <f t="shared" si="13"/>
        <v>442.91615938566054</v>
      </c>
      <c r="L30" s="207">
        <f t="shared" si="13"/>
        <v>548.8934959602792</v>
      </c>
      <c r="M30" s="207">
        <f t="shared" si="13"/>
        <v>564.8676408390877</v>
      </c>
      <c r="N30" s="207">
        <f t="shared" si="13"/>
        <v>666.0558615738993</v>
      </c>
      <c r="O30" s="207">
        <f t="shared" si="13"/>
        <v>685.5448774211161</v>
      </c>
      <c r="P30" s="207">
        <f t="shared" si="13"/>
        <v>795.5137677103257</v>
      </c>
      <c r="Q30" s="207">
        <f t="shared" si="13"/>
        <v>818.8865207416354</v>
      </c>
      <c r="R30" s="207">
        <f t="shared" si="13"/>
        <v>842.9604563638844</v>
      </c>
    </row>
    <row r="31" spans="1:18" ht="12.75">
      <c r="A31" s="206"/>
      <c r="B31" s="207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</row>
    <row r="32" spans="1:18" ht="12.75">
      <c r="A32" s="206" t="s">
        <v>113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</row>
    <row r="33" spans="1:18" ht="12.75">
      <c r="A33" s="206"/>
      <c r="B33" s="214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</row>
    <row r="34" spans="1:18" ht="12.75">
      <c r="A34" s="209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</row>
    <row r="35" spans="1:18" ht="12.75">
      <c r="A35" s="206" t="s">
        <v>169</v>
      </c>
      <c r="B35" s="209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</row>
    <row r="36" spans="1:18" ht="12.75">
      <c r="A36" s="206" t="s">
        <v>166</v>
      </c>
      <c r="B36" s="209"/>
      <c r="C36" s="223">
        <v>0.05</v>
      </c>
      <c r="D36" s="223">
        <v>0.05</v>
      </c>
      <c r="E36" s="223">
        <v>0.05</v>
      </c>
      <c r="F36" s="223">
        <v>0.05</v>
      </c>
      <c r="G36" s="223">
        <v>0.05</v>
      </c>
      <c r="H36" s="223">
        <v>0.05</v>
      </c>
      <c r="I36" s="223">
        <v>0.05</v>
      </c>
      <c r="J36" s="223">
        <v>0.05</v>
      </c>
      <c r="K36" s="223">
        <v>0.05</v>
      </c>
      <c r="L36" s="223">
        <v>0.05</v>
      </c>
      <c r="M36" s="223">
        <v>0.05</v>
      </c>
      <c r="N36" s="223">
        <v>0.05</v>
      </c>
      <c r="O36" s="223">
        <v>0.05</v>
      </c>
      <c r="P36" s="223">
        <v>0.05</v>
      </c>
      <c r="Q36" s="223">
        <v>0.05</v>
      </c>
      <c r="R36" s="223">
        <v>0.05</v>
      </c>
    </row>
    <row r="37" spans="1:18" ht="12.75">
      <c r="A37" s="206" t="s">
        <v>167</v>
      </c>
      <c r="B37" s="209"/>
      <c r="C37" s="223">
        <v>0.35</v>
      </c>
      <c r="D37" s="223">
        <v>0.35</v>
      </c>
      <c r="E37" s="223">
        <v>0.35</v>
      </c>
      <c r="F37" s="223">
        <v>0.35</v>
      </c>
      <c r="G37" s="223">
        <v>0.35</v>
      </c>
      <c r="H37" s="223">
        <v>0.35</v>
      </c>
      <c r="I37" s="223">
        <v>0.35</v>
      </c>
      <c r="J37" s="223">
        <v>0.35</v>
      </c>
      <c r="K37" s="223">
        <v>0.35</v>
      </c>
      <c r="L37" s="223">
        <v>0.35</v>
      </c>
      <c r="M37" s="223">
        <v>0.35</v>
      </c>
      <c r="N37" s="223">
        <v>0.35</v>
      </c>
      <c r="O37" s="223">
        <v>0.35</v>
      </c>
      <c r="P37" s="223">
        <v>0.35</v>
      </c>
      <c r="Q37" s="223">
        <v>0.35</v>
      </c>
      <c r="R37" s="223">
        <v>0.35</v>
      </c>
    </row>
    <row r="38" spans="1:18" ht="12.75">
      <c r="A38" s="209" t="s">
        <v>185</v>
      </c>
      <c r="B38" s="207">
        <f>(B26)*B29*B37*360/1000</f>
        <v>0</v>
      </c>
      <c r="C38" s="207">
        <f>C19*C36</f>
        <v>360.08388</v>
      </c>
      <c r="D38" s="207">
        <f>D19*D36</f>
        <v>370.88639639999997</v>
      </c>
      <c r="E38" s="207">
        <f aca="true" t="shared" si="14" ref="E38:R38">E19*E36</f>
        <v>382.012988292</v>
      </c>
      <c r="F38" s="207">
        <f t="shared" si="14"/>
        <v>393.4733779407599</v>
      </c>
      <c r="G38" s="207">
        <f t="shared" si="14"/>
        <v>405.27757927898267</v>
      </c>
      <c r="H38" s="207">
        <f t="shared" si="14"/>
        <v>417.43590665735223</v>
      </c>
      <c r="I38" s="207">
        <f t="shared" si="14"/>
        <v>429.9589838570728</v>
      </c>
      <c r="J38" s="207">
        <f t="shared" si="14"/>
        <v>369.04812781065425</v>
      </c>
      <c r="K38" s="207">
        <f t="shared" si="14"/>
        <v>380.1195716449738</v>
      </c>
      <c r="L38" s="207">
        <f t="shared" si="14"/>
        <v>391.5231587943231</v>
      </c>
      <c r="M38" s="207">
        <f t="shared" si="14"/>
        <v>403.2688535581528</v>
      </c>
      <c r="N38" s="207">
        <f t="shared" si="14"/>
        <v>332.29353533191784</v>
      </c>
      <c r="O38" s="207">
        <f t="shared" si="14"/>
        <v>342.26234139187534</v>
      </c>
      <c r="P38" s="207">
        <f t="shared" si="14"/>
        <v>264.39765872522366</v>
      </c>
      <c r="Q38" s="207">
        <f t="shared" si="14"/>
        <v>272.3295884869804</v>
      </c>
      <c r="R38" s="207">
        <f t="shared" si="14"/>
        <v>280.4994761415898</v>
      </c>
    </row>
    <row r="39" spans="1:18" ht="12.75">
      <c r="A39" s="209" t="s">
        <v>186</v>
      </c>
      <c r="B39" s="207">
        <f>(B26)*B32*B37*360/1000</f>
        <v>0</v>
      </c>
      <c r="C39" s="207">
        <f>C20*C37</f>
        <v>840.19572</v>
      </c>
      <c r="D39" s="207">
        <f>D20*D37</f>
        <v>865.4015915999998</v>
      </c>
      <c r="E39" s="207">
        <f aca="true" t="shared" si="15" ref="E39:R39">E20*E37</f>
        <v>1114.204549185</v>
      </c>
      <c r="F39" s="207">
        <f t="shared" si="15"/>
        <v>1147.6306856605497</v>
      </c>
      <c r="G39" s="207">
        <f t="shared" si="15"/>
        <v>1182.0596062303662</v>
      </c>
      <c r="H39" s="207">
        <f t="shared" si="15"/>
        <v>1461.0256733007325</v>
      </c>
      <c r="I39" s="207">
        <f t="shared" si="15"/>
        <v>1504.8564434997547</v>
      </c>
      <c r="J39" s="207">
        <f t="shared" si="15"/>
        <v>2066.6695157396634</v>
      </c>
      <c r="K39" s="207">
        <f t="shared" si="15"/>
        <v>2128.669601211853</v>
      </c>
      <c r="L39" s="207">
        <f t="shared" si="15"/>
        <v>2740.662111560261</v>
      </c>
      <c r="M39" s="207">
        <f t="shared" si="15"/>
        <v>2822.881974907069</v>
      </c>
      <c r="N39" s="207">
        <f t="shared" si="15"/>
        <v>3489.0821209851365</v>
      </c>
      <c r="O39" s="207">
        <f t="shared" si="15"/>
        <v>3593.75458461469</v>
      </c>
      <c r="P39" s="207">
        <f t="shared" si="15"/>
        <v>4318.4950925119865</v>
      </c>
      <c r="Q39" s="207">
        <f t="shared" si="15"/>
        <v>4448.0499452873455</v>
      </c>
      <c r="R39" s="207">
        <f t="shared" si="15"/>
        <v>4581.491443645965</v>
      </c>
    </row>
    <row r="40" spans="1:18" ht="12.75">
      <c r="A40" s="209" t="s">
        <v>187</v>
      </c>
      <c r="B40" s="216">
        <f>B39*0.8</f>
        <v>0</v>
      </c>
      <c r="C40" s="216">
        <f>C39*0.8</f>
        <v>672.1565760000001</v>
      </c>
      <c r="D40" s="216">
        <f>D39*0.8</f>
        <v>692.3212732799999</v>
      </c>
      <c r="E40" s="216">
        <f aca="true" t="shared" si="16" ref="E40:R40">E39*0.8</f>
        <v>891.363639348</v>
      </c>
      <c r="F40" s="216">
        <f t="shared" si="16"/>
        <v>918.1045485284399</v>
      </c>
      <c r="G40" s="216">
        <f t="shared" si="16"/>
        <v>945.6476849842929</v>
      </c>
      <c r="H40" s="216">
        <f t="shared" si="16"/>
        <v>1168.820538640586</v>
      </c>
      <c r="I40" s="216">
        <f t="shared" si="16"/>
        <v>1203.8851547998038</v>
      </c>
      <c r="J40" s="216">
        <f t="shared" si="16"/>
        <v>1653.3356125917308</v>
      </c>
      <c r="K40" s="216">
        <f t="shared" si="16"/>
        <v>1702.9356809694827</v>
      </c>
      <c r="L40" s="216">
        <f t="shared" si="16"/>
        <v>2192.529689248209</v>
      </c>
      <c r="M40" s="216">
        <f t="shared" si="16"/>
        <v>2258.3055799256554</v>
      </c>
      <c r="N40" s="216">
        <f t="shared" si="16"/>
        <v>2791.2656967881094</v>
      </c>
      <c r="O40" s="216">
        <f t="shared" si="16"/>
        <v>2875.003667691752</v>
      </c>
      <c r="P40" s="216">
        <f t="shared" si="16"/>
        <v>3454.7960740095896</v>
      </c>
      <c r="Q40" s="216">
        <f t="shared" si="16"/>
        <v>3558.4399562298768</v>
      </c>
      <c r="R40" s="216">
        <f t="shared" si="16"/>
        <v>3665.193154916772</v>
      </c>
    </row>
    <row r="41" spans="1:18" ht="12.75">
      <c r="A41" s="209" t="s">
        <v>188</v>
      </c>
      <c r="B41" s="216">
        <f>B39*0.2</f>
        <v>0</v>
      </c>
      <c r="C41" s="216">
        <f>C39*0.2</f>
        <v>168.03914400000002</v>
      </c>
      <c r="D41" s="216">
        <f>D39*0.2</f>
        <v>173.08031831999998</v>
      </c>
      <c r="E41" s="216">
        <f aca="true" t="shared" si="17" ref="E41:R41">E39*0.2</f>
        <v>222.840909837</v>
      </c>
      <c r="F41" s="216">
        <f t="shared" si="17"/>
        <v>229.52613713210997</v>
      </c>
      <c r="G41" s="216">
        <f t="shared" si="17"/>
        <v>236.41192124607323</v>
      </c>
      <c r="H41" s="216">
        <f t="shared" si="17"/>
        <v>292.2051346601465</v>
      </c>
      <c r="I41" s="216">
        <f t="shared" si="17"/>
        <v>300.97128869995095</v>
      </c>
      <c r="J41" s="216">
        <f t="shared" si="17"/>
        <v>413.3339031479327</v>
      </c>
      <c r="K41" s="216">
        <f t="shared" si="17"/>
        <v>425.7339202423707</v>
      </c>
      <c r="L41" s="216">
        <f t="shared" si="17"/>
        <v>548.1324223120522</v>
      </c>
      <c r="M41" s="216">
        <f t="shared" si="17"/>
        <v>564.5763949814138</v>
      </c>
      <c r="N41" s="216">
        <f t="shared" si="17"/>
        <v>697.8164241970273</v>
      </c>
      <c r="O41" s="216">
        <f t="shared" si="17"/>
        <v>718.750916922938</v>
      </c>
      <c r="P41" s="216">
        <f t="shared" si="17"/>
        <v>863.6990185023974</v>
      </c>
      <c r="Q41" s="216">
        <f t="shared" si="17"/>
        <v>889.6099890574692</v>
      </c>
      <c r="R41" s="216">
        <f t="shared" si="17"/>
        <v>916.298288729193</v>
      </c>
    </row>
    <row r="42" spans="1:18" ht="12.75">
      <c r="A42" s="209" t="s">
        <v>189</v>
      </c>
      <c r="B42" s="207">
        <f>2*B34</f>
        <v>0</v>
      </c>
      <c r="C42" s="207">
        <f>C23*C37</f>
        <v>35</v>
      </c>
      <c r="D42" s="207">
        <f>D23*D37</f>
        <v>35</v>
      </c>
      <c r="E42" s="207">
        <f aca="true" t="shared" si="18" ref="E42:R42">E23*E37</f>
        <v>35</v>
      </c>
      <c r="F42" s="207">
        <f t="shared" si="18"/>
        <v>38.5</v>
      </c>
      <c r="G42" s="207">
        <f t="shared" si="18"/>
        <v>38.5</v>
      </c>
      <c r="H42" s="207">
        <f t="shared" si="18"/>
        <v>38.5</v>
      </c>
      <c r="I42" s="207">
        <f t="shared" si="18"/>
        <v>38.5</v>
      </c>
      <c r="J42" s="207">
        <f t="shared" si="18"/>
        <v>38.5</v>
      </c>
      <c r="K42" s="207">
        <f t="shared" si="18"/>
        <v>42</v>
      </c>
      <c r="L42" s="207">
        <f t="shared" si="18"/>
        <v>42</v>
      </c>
      <c r="M42" s="207">
        <f t="shared" si="18"/>
        <v>42</v>
      </c>
      <c r="N42" s="207">
        <f t="shared" si="18"/>
        <v>42</v>
      </c>
      <c r="O42" s="207">
        <f t="shared" si="18"/>
        <v>42</v>
      </c>
      <c r="P42" s="207">
        <f t="shared" si="18"/>
        <v>42</v>
      </c>
      <c r="Q42" s="207">
        <f t="shared" si="18"/>
        <v>42</v>
      </c>
      <c r="R42" s="207">
        <f t="shared" si="18"/>
        <v>42</v>
      </c>
    </row>
    <row r="43" spans="1:18" ht="12.75">
      <c r="A43" s="209" t="s">
        <v>190</v>
      </c>
      <c r="B43" s="207">
        <f>12*B35</f>
        <v>0</v>
      </c>
      <c r="C43" s="207">
        <f>C24*C37</f>
        <v>54.599999999999994</v>
      </c>
      <c r="D43" s="207">
        <f>D24*D37</f>
        <v>54.599999999999994</v>
      </c>
      <c r="E43" s="207">
        <f aca="true" t="shared" si="19" ref="E43:R43">E24*E37</f>
        <v>54.599999999999994</v>
      </c>
      <c r="F43" s="207">
        <f t="shared" si="19"/>
        <v>54.599999999999994</v>
      </c>
      <c r="G43" s="207">
        <f t="shared" si="19"/>
        <v>54.599999999999994</v>
      </c>
      <c r="H43" s="207">
        <f t="shared" si="19"/>
        <v>54.599999999999994</v>
      </c>
      <c r="I43" s="207">
        <f t="shared" si="19"/>
        <v>54.599999999999994</v>
      </c>
      <c r="J43" s="207">
        <f t="shared" si="19"/>
        <v>54.599999999999994</v>
      </c>
      <c r="K43" s="207">
        <f t="shared" si="19"/>
        <v>54.599999999999994</v>
      </c>
      <c r="L43" s="207">
        <f t="shared" si="19"/>
        <v>54.599999999999994</v>
      </c>
      <c r="M43" s="207">
        <f t="shared" si="19"/>
        <v>54.599999999999994</v>
      </c>
      <c r="N43" s="207">
        <f t="shared" si="19"/>
        <v>54.599999999999994</v>
      </c>
      <c r="O43" s="207">
        <f t="shared" si="19"/>
        <v>54.599999999999994</v>
      </c>
      <c r="P43" s="207">
        <f t="shared" si="19"/>
        <v>54.599999999999994</v>
      </c>
      <c r="Q43" s="207">
        <f t="shared" si="19"/>
        <v>54.599999999999994</v>
      </c>
      <c r="R43" s="207">
        <f t="shared" si="19"/>
        <v>54.599999999999994</v>
      </c>
    </row>
    <row r="44" spans="1:18" ht="12.75">
      <c r="A44" s="206" t="s">
        <v>191</v>
      </c>
      <c r="B44" s="207"/>
      <c r="C44" s="207">
        <f>C38+C39+C42+C43</f>
        <v>1289.8796</v>
      </c>
      <c r="D44" s="207">
        <f>D38+D39+D42+D43</f>
        <v>1325.8879879999997</v>
      </c>
      <c r="E44" s="207">
        <f aca="true" t="shared" si="20" ref="E44:R44">E38+E39+E42+E43</f>
        <v>1585.8175374769999</v>
      </c>
      <c r="F44" s="207">
        <f t="shared" si="20"/>
        <v>1634.2040636013096</v>
      </c>
      <c r="G44" s="207">
        <f t="shared" si="20"/>
        <v>1680.4371855093486</v>
      </c>
      <c r="H44" s="207">
        <f t="shared" si="20"/>
        <v>1971.5615799580846</v>
      </c>
      <c r="I44" s="207">
        <f t="shared" si="20"/>
        <v>2027.9154273568274</v>
      </c>
      <c r="J44" s="207">
        <f t="shared" si="20"/>
        <v>2528.817643550318</v>
      </c>
      <c r="K44" s="207">
        <f t="shared" si="20"/>
        <v>2605.389172856827</v>
      </c>
      <c r="L44" s="207">
        <f t="shared" si="20"/>
        <v>3228.785270354584</v>
      </c>
      <c r="M44" s="207">
        <f t="shared" si="20"/>
        <v>3322.7508284652217</v>
      </c>
      <c r="N44" s="207">
        <f t="shared" si="20"/>
        <v>3917.9756563170545</v>
      </c>
      <c r="O44" s="207">
        <f t="shared" si="20"/>
        <v>4032.6169260065653</v>
      </c>
      <c r="P44" s="207">
        <f t="shared" si="20"/>
        <v>4679.4927512372105</v>
      </c>
      <c r="Q44" s="207">
        <f t="shared" si="20"/>
        <v>4816.979533774326</v>
      </c>
      <c r="R44" s="207">
        <f t="shared" si="20"/>
        <v>4958.590919787555</v>
      </c>
    </row>
    <row r="45" spans="1:18" ht="12.75">
      <c r="A45" s="206" t="s">
        <v>192</v>
      </c>
      <c r="B45" s="207"/>
      <c r="C45" s="207">
        <v>50000</v>
      </c>
      <c r="D45" s="207">
        <f>C45*1.04</f>
        <v>52000</v>
      </c>
      <c r="E45" s="207">
        <f aca="true" t="shared" si="21" ref="E45:R47">D45*1.04</f>
        <v>54080</v>
      </c>
      <c r="F45" s="207">
        <f t="shared" si="21"/>
        <v>56243.200000000004</v>
      </c>
      <c r="G45" s="207">
        <f t="shared" si="21"/>
        <v>58492.92800000001</v>
      </c>
      <c r="H45" s="207">
        <f t="shared" si="21"/>
        <v>60832.64512000001</v>
      </c>
      <c r="I45" s="207">
        <f t="shared" si="21"/>
        <v>63265.95092480001</v>
      </c>
      <c r="J45" s="207">
        <f t="shared" si="21"/>
        <v>65796.58896179202</v>
      </c>
      <c r="K45" s="207">
        <f t="shared" si="21"/>
        <v>68428.4525202637</v>
      </c>
      <c r="L45" s="207">
        <f t="shared" si="21"/>
        <v>71165.59062107425</v>
      </c>
      <c r="M45" s="207">
        <f t="shared" si="21"/>
        <v>74012.21424591723</v>
      </c>
      <c r="N45" s="207">
        <f>M45*1.04</f>
        <v>76972.70281575392</v>
      </c>
      <c r="O45" s="207">
        <f t="shared" si="21"/>
        <v>80051.61092838408</v>
      </c>
      <c r="P45" s="207">
        <f t="shared" si="21"/>
        <v>83253.67536551945</v>
      </c>
      <c r="Q45" s="207">
        <f t="shared" si="21"/>
        <v>86583.82238014023</v>
      </c>
      <c r="R45" s="207">
        <f t="shared" si="21"/>
        <v>90047.17527534584</v>
      </c>
    </row>
    <row r="46" spans="1:18" ht="12.75">
      <c r="A46" s="206" t="s">
        <v>193</v>
      </c>
      <c r="B46" s="207"/>
      <c r="C46" s="207">
        <v>80000</v>
      </c>
      <c r="D46" s="207">
        <f>C46*1.04</f>
        <v>83200</v>
      </c>
      <c r="E46" s="207">
        <f>D46*1.04</f>
        <v>86528</v>
      </c>
      <c r="F46" s="207">
        <f t="shared" si="21"/>
        <v>89989.12000000001</v>
      </c>
      <c r="G46" s="207">
        <f t="shared" si="21"/>
        <v>93588.68480000002</v>
      </c>
      <c r="H46" s="207">
        <f t="shared" si="21"/>
        <v>97332.23219200002</v>
      </c>
      <c r="I46" s="207">
        <f t="shared" si="21"/>
        <v>101225.52147968003</v>
      </c>
      <c r="J46" s="207">
        <f t="shared" si="21"/>
        <v>105274.54233886724</v>
      </c>
      <c r="K46" s="207">
        <f t="shared" si="21"/>
        <v>109485.52403242193</v>
      </c>
      <c r="L46" s="207">
        <f t="shared" si="21"/>
        <v>113864.94499371882</v>
      </c>
      <c r="M46" s="207">
        <f t="shared" si="21"/>
        <v>118419.54279346757</v>
      </c>
      <c r="N46" s="207">
        <f t="shared" si="21"/>
        <v>123156.32450520627</v>
      </c>
      <c r="O46" s="207">
        <f t="shared" si="21"/>
        <v>128082.57748541453</v>
      </c>
      <c r="P46" s="207">
        <f t="shared" si="21"/>
        <v>133205.88058483112</v>
      </c>
      <c r="Q46" s="207">
        <f t="shared" si="21"/>
        <v>138534.11580822436</v>
      </c>
      <c r="R46" s="207">
        <f t="shared" si="21"/>
        <v>144075.48044055334</v>
      </c>
    </row>
    <row r="47" spans="1:18" ht="12.75">
      <c r="A47" s="206" t="s">
        <v>194</v>
      </c>
      <c r="B47" s="207"/>
      <c r="C47" s="207">
        <v>100000</v>
      </c>
      <c r="D47" s="207">
        <f>C47*1.04</f>
        <v>104000</v>
      </c>
      <c r="E47" s="207">
        <f>D47*1.04</f>
        <v>108160</v>
      </c>
      <c r="F47" s="207">
        <f t="shared" si="21"/>
        <v>112486.40000000001</v>
      </c>
      <c r="G47" s="207">
        <f t="shared" si="21"/>
        <v>116985.85600000001</v>
      </c>
      <c r="H47" s="207">
        <f t="shared" si="21"/>
        <v>121665.29024000002</v>
      </c>
      <c r="I47" s="207">
        <f t="shared" si="21"/>
        <v>126531.90184960002</v>
      </c>
      <c r="J47" s="207">
        <f t="shared" si="21"/>
        <v>131593.17792358404</v>
      </c>
      <c r="K47" s="207">
        <f t="shared" si="21"/>
        <v>136856.9050405274</v>
      </c>
      <c r="L47" s="207">
        <f t="shared" si="21"/>
        <v>142331.1812421485</v>
      </c>
      <c r="M47" s="207">
        <f t="shared" si="21"/>
        <v>148024.42849183446</v>
      </c>
      <c r="N47" s="207">
        <f t="shared" si="21"/>
        <v>153945.40563150783</v>
      </c>
      <c r="O47" s="207">
        <f t="shared" si="21"/>
        <v>160103.22185676816</v>
      </c>
      <c r="P47" s="207">
        <f t="shared" si="21"/>
        <v>166507.3507310389</v>
      </c>
      <c r="Q47" s="207">
        <f t="shared" si="21"/>
        <v>173167.64476028047</v>
      </c>
      <c r="R47" s="207">
        <f t="shared" si="21"/>
        <v>180094.35055069168</v>
      </c>
    </row>
    <row r="48" spans="1:18" ht="12.75">
      <c r="A48" s="209" t="s">
        <v>161</v>
      </c>
      <c r="B48" s="216">
        <f>+B19*B45</f>
        <v>0</v>
      </c>
      <c r="C48" s="216">
        <f>C38*C45</f>
        <v>18004194</v>
      </c>
      <c r="D48" s="216">
        <f aca="true" t="shared" si="22" ref="D48:R48">D38*D45</f>
        <v>19286092.6128</v>
      </c>
      <c r="E48" s="216">
        <f t="shared" si="22"/>
        <v>20659262.406831358</v>
      </c>
      <c r="F48" s="216">
        <f t="shared" si="22"/>
        <v>22130201.89019775</v>
      </c>
      <c r="G48" s="216">
        <f t="shared" si="22"/>
        <v>23705872.26477983</v>
      </c>
      <c r="H48" s="216">
        <f t="shared" si="22"/>
        <v>25393730.370032158</v>
      </c>
      <c r="I48" s="216">
        <f t="shared" si="22"/>
        <v>27201763.972378448</v>
      </c>
      <c r="J48" s="216">
        <f t="shared" si="22"/>
        <v>24282107.972676504</v>
      </c>
      <c r="K48" s="216">
        <f t="shared" si="22"/>
        <v>26010994.060331065</v>
      </c>
      <c r="L48" s="216">
        <f t="shared" si="22"/>
        <v>27862976.837426644</v>
      </c>
      <c r="M48" s="216">
        <f t="shared" si="22"/>
        <v>29846820.788251426</v>
      </c>
      <c r="N48" s="216">
        <f t="shared" si="22"/>
        <v>25577531.542699937</v>
      </c>
      <c r="O48" s="216">
        <f t="shared" si="22"/>
        <v>27398651.78854017</v>
      </c>
      <c r="P48" s="216">
        <f t="shared" si="22"/>
        <v>22012076.84691317</v>
      </c>
      <c r="Q48" s="216">
        <f t="shared" si="22"/>
        <v>23579336.718413394</v>
      </c>
      <c r="R48" s="216">
        <f t="shared" si="22"/>
        <v>25258185.49276443</v>
      </c>
    </row>
    <row r="49" spans="1:18" ht="12.75">
      <c r="A49" s="209" t="s">
        <v>170</v>
      </c>
      <c r="B49" s="216">
        <f>+B20*B46</f>
        <v>0</v>
      </c>
      <c r="C49" s="216">
        <f>C46*C40</f>
        <v>53772526.080000006</v>
      </c>
      <c r="D49" s="216">
        <f aca="true" t="shared" si="23" ref="D49:R49">D46*D40</f>
        <v>57601129.93689599</v>
      </c>
      <c r="E49" s="216">
        <f t="shared" si="23"/>
        <v>77127912.98550375</v>
      </c>
      <c r="F49" s="216">
        <f t="shared" si="23"/>
        <v>82619420.3900716</v>
      </c>
      <c r="G49" s="216">
        <f t="shared" si="23"/>
        <v>88501923.1218447</v>
      </c>
      <c r="H49" s="216">
        <f t="shared" si="23"/>
        <v>113763912.05774404</v>
      </c>
      <c r="I49" s="216">
        <f t="shared" si="23"/>
        <v>121863902.59625545</v>
      </c>
      <c r="J49" s="216">
        <f t="shared" si="23"/>
        <v>174054149.94814515</v>
      </c>
      <c r="K49" s="216">
        <f t="shared" si="23"/>
        <v>186446805.4244531</v>
      </c>
      <c r="L49" s="216">
        <f t="shared" si="23"/>
        <v>249652272.4633427</v>
      </c>
      <c r="M49" s="216">
        <f t="shared" si="23"/>
        <v>267427514.26273274</v>
      </c>
      <c r="N49" s="216">
        <f t="shared" si="23"/>
        <v>343762023.93388706</v>
      </c>
      <c r="O49" s="216">
        <f t="shared" si="23"/>
        <v>368237880.0379798</v>
      </c>
      <c r="P49" s="216">
        <f t="shared" si="23"/>
        <v>460199153.2794648</v>
      </c>
      <c r="Q49" s="216">
        <f t="shared" si="23"/>
        <v>492965332.9929626</v>
      </c>
      <c r="R49" s="216">
        <f t="shared" si="23"/>
        <v>528064464.70206136</v>
      </c>
    </row>
    <row r="50" spans="1:18" ht="12.75">
      <c r="A50" s="209" t="s">
        <v>171</v>
      </c>
      <c r="B50" s="216"/>
      <c r="C50" s="216">
        <f>C47*(C41+C42+C43)</f>
        <v>25763914.4</v>
      </c>
      <c r="D50" s="216">
        <f aca="true" t="shared" si="24" ref="D50:R50">D47*(D41+D42+D43)</f>
        <v>27318753.105279997</v>
      </c>
      <c r="E50" s="216">
        <f t="shared" si="24"/>
        <v>33793608.80796993</v>
      </c>
      <c r="F50" s="216">
        <f t="shared" si="24"/>
        <v>36291052.71189738</v>
      </c>
      <c r="G50" s="216">
        <f t="shared" si="24"/>
        <v>38548234.169176474</v>
      </c>
      <c r="H50" s="216">
        <f t="shared" si="24"/>
        <v>46878261.03938901</v>
      </c>
      <c r="I50" s="216">
        <f t="shared" si="24"/>
        <v>49862589.62352759</v>
      </c>
      <c r="J50" s="216">
        <f t="shared" si="24"/>
        <v>66643246.72348104</v>
      </c>
      <c r="K50" s="216">
        <f t="shared" si="24"/>
        <v>71485003.72205654</v>
      </c>
      <c r="L50" s="216">
        <f t="shared" si="24"/>
        <v>91765527.25278614</v>
      </c>
      <c r="M50" s="216">
        <f t="shared" si="24"/>
        <v>97870257.99941519</v>
      </c>
      <c r="N50" s="216">
        <f t="shared" si="24"/>
        <v>122296758.66334337</v>
      </c>
      <c r="O50" s="216">
        <f t="shared" si="24"/>
        <v>130540308.74323249</v>
      </c>
      <c r="P50" s="216">
        <f t="shared" si="24"/>
        <v>159896845.4804511</v>
      </c>
      <c r="Q50" s="216">
        <f t="shared" si="24"/>
        <v>170779661.04414392</v>
      </c>
      <c r="R50" s="216">
        <f t="shared" si="24"/>
        <v>182417259.482591</v>
      </c>
    </row>
    <row r="51" spans="1:18" ht="12.75">
      <c r="A51" s="206" t="s">
        <v>157</v>
      </c>
      <c r="B51" s="216"/>
      <c r="C51" s="207">
        <v>200</v>
      </c>
      <c r="D51" s="207">
        <v>200</v>
      </c>
      <c r="E51" s="207">
        <v>200</v>
      </c>
      <c r="F51" s="207">
        <v>200</v>
      </c>
      <c r="G51" s="207">
        <v>200</v>
      </c>
      <c r="H51" s="207">
        <v>200</v>
      </c>
      <c r="I51" s="207">
        <v>200</v>
      </c>
      <c r="J51" s="207">
        <v>200</v>
      </c>
      <c r="K51" s="207">
        <v>200</v>
      </c>
      <c r="L51" s="207">
        <v>200</v>
      </c>
      <c r="M51" s="207">
        <v>200</v>
      </c>
      <c r="N51" s="207">
        <v>200</v>
      </c>
      <c r="O51" s="207">
        <v>200</v>
      </c>
      <c r="P51" s="207">
        <v>200</v>
      </c>
      <c r="Q51" s="207">
        <v>200</v>
      </c>
      <c r="R51" s="207">
        <v>200</v>
      </c>
    </row>
    <row r="52" spans="1:18" ht="12.75">
      <c r="A52" s="206" t="s">
        <v>158</v>
      </c>
      <c r="B52" s="216"/>
      <c r="C52" s="207">
        <v>500</v>
      </c>
      <c r="D52" s="207">
        <v>500</v>
      </c>
      <c r="E52" s="207">
        <v>500</v>
      </c>
      <c r="F52" s="207">
        <v>500</v>
      </c>
      <c r="G52" s="207">
        <v>500</v>
      </c>
      <c r="H52" s="207">
        <v>500</v>
      </c>
      <c r="I52" s="207">
        <v>500</v>
      </c>
      <c r="J52" s="207">
        <v>500</v>
      </c>
      <c r="K52" s="207">
        <v>500</v>
      </c>
      <c r="L52" s="207">
        <v>500</v>
      </c>
      <c r="M52" s="207">
        <v>500</v>
      </c>
      <c r="N52" s="207">
        <v>500</v>
      </c>
      <c r="O52" s="207">
        <v>500</v>
      </c>
      <c r="P52" s="207">
        <v>500</v>
      </c>
      <c r="Q52" s="207">
        <v>500</v>
      </c>
      <c r="R52" s="207">
        <v>500</v>
      </c>
    </row>
    <row r="53" spans="1:18" ht="12.75">
      <c r="A53" s="209" t="s">
        <v>159</v>
      </c>
      <c r="B53" s="216"/>
      <c r="C53" s="216">
        <f aca="true" t="shared" si="25" ref="C53:R53">C51*C29*0.6</f>
        <v>26313543.84</v>
      </c>
      <c r="D53" s="216">
        <f t="shared" si="25"/>
        <v>27048114.95519999</v>
      </c>
      <c r="E53" s="216">
        <f t="shared" si="25"/>
        <v>32350677.7645308</v>
      </c>
      <c r="F53" s="216">
        <f t="shared" si="25"/>
        <v>33337762.89746672</v>
      </c>
      <c r="G53" s="216">
        <f t="shared" si="25"/>
        <v>34280918.584390715</v>
      </c>
      <c r="H53" s="216">
        <f t="shared" si="25"/>
        <v>40219856.23114492</v>
      </c>
      <c r="I53" s="216">
        <f t="shared" si="25"/>
        <v>41369474.718079284</v>
      </c>
      <c r="J53" s="216">
        <f t="shared" si="25"/>
        <v>51587879.92842648</v>
      </c>
      <c r="K53" s="216">
        <f t="shared" si="25"/>
        <v>53149939.12627926</v>
      </c>
      <c r="L53" s="216">
        <f t="shared" si="25"/>
        <v>65867219.51523351</v>
      </c>
      <c r="M53" s="216">
        <f t="shared" si="25"/>
        <v>67784116.90069051</v>
      </c>
      <c r="N53" s="216">
        <f t="shared" si="25"/>
        <v>79926703.38886791</v>
      </c>
      <c r="O53" s="216">
        <f t="shared" si="25"/>
        <v>82265385.29053393</v>
      </c>
      <c r="P53" s="216">
        <f t="shared" si="25"/>
        <v>95461652.12523909</v>
      </c>
      <c r="Q53" s="216">
        <f t="shared" si="25"/>
        <v>98266382.48899625</v>
      </c>
      <c r="R53" s="216">
        <f t="shared" si="25"/>
        <v>101155254.76366612</v>
      </c>
    </row>
    <row r="54" spans="1:18" ht="12.75">
      <c r="A54" s="209" t="s">
        <v>160</v>
      </c>
      <c r="B54" s="216"/>
      <c r="C54" s="216">
        <f aca="true" t="shared" si="26" ref="C54:R54">C52*C29*0.4</f>
        <v>43855906.400000006</v>
      </c>
      <c r="D54" s="216">
        <f t="shared" si="26"/>
        <v>45080191.59199999</v>
      </c>
      <c r="E54" s="216">
        <f t="shared" si="26"/>
        <v>53917796.274218</v>
      </c>
      <c r="F54" s="216">
        <f t="shared" si="26"/>
        <v>55562938.16244453</v>
      </c>
      <c r="G54" s="216">
        <f t="shared" si="26"/>
        <v>57134864.30731787</v>
      </c>
      <c r="H54" s="216">
        <f t="shared" si="26"/>
        <v>67033093.718574874</v>
      </c>
      <c r="I54" s="216">
        <f t="shared" si="26"/>
        <v>68949124.53013214</v>
      </c>
      <c r="J54" s="216">
        <f t="shared" si="26"/>
        <v>85979799.88071081</v>
      </c>
      <c r="K54" s="216">
        <f t="shared" si="26"/>
        <v>88583231.87713212</v>
      </c>
      <c r="L54" s="216">
        <f t="shared" si="26"/>
        <v>109778699.19205585</v>
      </c>
      <c r="M54" s="216">
        <f t="shared" si="26"/>
        <v>112973528.16781753</v>
      </c>
      <c r="N54" s="216">
        <f t="shared" si="26"/>
        <v>133211172.31477986</v>
      </c>
      <c r="O54" s="216">
        <f t="shared" si="26"/>
        <v>137108975.48422322</v>
      </c>
      <c r="P54" s="216">
        <f t="shared" si="26"/>
        <v>159102753.54206514</v>
      </c>
      <c r="Q54" s="216">
        <f t="shared" si="26"/>
        <v>163777304.1483271</v>
      </c>
      <c r="R54" s="216">
        <f t="shared" si="26"/>
        <v>168592091.27277687</v>
      </c>
    </row>
    <row r="55" spans="1:18" ht="12.75">
      <c r="A55" s="206" t="s">
        <v>163</v>
      </c>
      <c r="B55" s="216"/>
      <c r="C55" s="207">
        <v>400000</v>
      </c>
      <c r="D55" s="207">
        <v>400000</v>
      </c>
      <c r="E55" s="207">
        <v>400000</v>
      </c>
      <c r="F55" s="207">
        <v>400000</v>
      </c>
      <c r="G55" s="207">
        <v>400000</v>
      </c>
      <c r="H55" s="207">
        <v>400000</v>
      </c>
      <c r="I55" s="207">
        <v>400000</v>
      </c>
      <c r="J55" s="207">
        <v>400000</v>
      </c>
      <c r="K55" s="207">
        <v>400000</v>
      </c>
      <c r="L55" s="207">
        <v>400000</v>
      </c>
      <c r="M55" s="207">
        <v>400000</v>
      </c>
      <c r="N55" s="207">
        <v>400000</v>
      </c>
      <c r="O55" s="207">
        <v>400000</v>
      </c>
      <c r="P55" s="207">
        <v>400000</v>
      </c>
      <c r="Q55" s="207">
        <v>400000</v>
      </c>
      <c r="R55" s="207">
        <v>400000</v>
      </c>
    </row>
    <row r="56" spans="1:18" ht="12.75">
      <c r="A56" s="206" t="s">
        <v>162</v>
      </c>
      <c r="B56" s="216"/>
      <c r="C56" s="207">
        <v>25000</v>
      </c>
      <c r="D56" s="207">
        <v>25000</v>
      </c>
      <c r="E56" s="207">
        <v>25000</v>
      </c>
      <c r="F56" s="207">
        <v>25000</v>
      </c>
      <c r="G56" s="207">
        <v>25000</v>
      </c>
      <c r="H56" s="207">
        <v>25000</v>
      </c>
      <c r="I56" s="207">
        <v>25000</v>
      </c>
      <c r="J56" s="207">
        <v>25000</v>
      </c>
      <c r="K56" s="207">
        <v>25000</v>
      </c>
      <c r="L56" s="207">
        <v>25000</v>
      </c>
      <c r="M56" s="207">
        <v>25000</v>
      </c>
      <c r="N56" s="207">
        <v>25000</v>
      </c>
      <c r="O56" s="207">
        <v>25000</v>
      </c>
      <c r="P56" s="207">
        <v>25000</v>
      </c>
      <c r="Q56" s="207">
        <v>25000</v>
      </c>
      <c r="R56" s="207">
        <v>25000</v>
      </c>
    </row>
    <row r="57" spans="1:18" ht="12.75">
      <c r="A57" s="206" t="s">
        <v>164</v>
      </c>
      <c r="B57" s="216"/>
      <c r="C57" s="207">
        <v>80000</v>
      </c>
      <c r="D57" s="207">
        <v>80000</v>
      </c>
      <c r="E57" s="207">
        <v>80000</v>
      </c>
      <c r="F57" s="207">
        <v>80000</v>
      </c>
      <c r="G57" s="207">
        <v>80000</v>
      </c>
      <c r="H57" s="207">
        <v>80000</v>
      </c>
      <c r="I57" s="207">
        <v>80000</v>
      </c>
      <c r="J57" s="207">
        <v>80000</v>
      </c>
      <c r="K57" s="207">
        <v>80000</v>
      </c>
      <c r="L57" s="207">
        <v>80000</v>
      </c>
      <c r="M57" s="207">
        <v>80000</v>
      </c>
      <c r="N57" s="207">
        <v>80000</v>
      </c>
      <c r="O57" s="207">
        <v>80000</v>
      </c>
      <c r="P57" s="207">
        <v>80000</v>
      </c>
      <c r="Q57" s="207">
        <v>80000</v>
      </c>
      <c r="R57" s="207">
        <v>80000</v>
      </c>
    </row>
    <row r="58" spans="1:18" ht="12.75">
      <c r="A58" s="209" t="s">
        <v>165</v>
      </c>
      <c r="B58" s="216"/>
      <c r="C58" s="216">
        <f>(360*C56*2)+(C55*50)+(C57*50)</f>
        <v>42000000</v>
      </c>
      <c r="D58" s="216">
        <f aca="true" t="shared" si="27" ref="D58:R58">(360*D56*2)+(D55*50)+(D57*50)</f>
        <v>42000000</v>
      </c>
      <c r="E58" s="216">
        <f t="shared" si="27"/>
        <v>42000000</v>
      </c>
      <c r="F58" s="216">
        <f t="shared" si="27"/>
        <v>42000000</v>
      </c>
      <c r="G58" s="216">
        <f t="shared" si="27"/>
        <v>42000000</v>
      </c>
      <c r="H58" s="216">
        <f t="shared" si="27"/>
        <v>42000000</v>
      </c>
      <c r="I58" s="216">
        <f t="shared" si="27"/>
        <v>42000000</v>
      </c>
      <c r="J58" s="216">
        <f t="shared" si="27"/>
        <v>42000000</v>
      </c>
      <c r="K58" s="216">
        <f t="shared" si="27"/>
        <v>42000000</v>
      </c>
      <c r="L58" s="216">
        <f t="shared" si="27"/>
        <v>42000000</v>
      </c>
      <c r="M58" s="216">
        <f t="shared" si="27"/>
        <v>42000000</v>
      </c>
      <c r="N58" s="216">
        <f t="shared" si="27"/>
        <v>42000000</v>
      </c>
      <c r="O58" s="216">
        <f t="shared" si="27"/>
        <v>42000000</v>
      </c>
      <c r="P58" s="216">
        <f t="shared" si="27"/>
        <v>42000000</v>
      </c>
      <c r="Q58" s="216">
        <f t="shared" si="27"/>
        <v>42000000</v>
      </c>
      <c r="R58" s="216">
        <f t="shared" si="27"/>
        <v>42000000</v>
      </c>
    </row>
    <row r="59" spans="1:18" ht="12.75">
      <c r="A59" s="206" t="s">
        <v>2</v>
      </c>
      <c r="B59" s="207">
        <f>SUM(B48:B49)</f>
        <v>0</v>
      </c>
      <c r="C59" s="207">
        <f>SUM(C48:C50)+SUM(C53:C54)+C58</f>
        <v>209710084.72000003</v>
      </c>
      <c r="D59" s="207">
        <f aca="true" t="shared" si="28" ref="D59:Q59">SUM(D48:D50)+SUM(D53:D54)+D58</f>
        <v>218334282.20217597</v>
      </c>
      <c r="E59" s="207">
        <f t="shared" si="28"/>
        <v>259849258.23905385</v>
      </c>
      <c r="F59" s="207">
        <f t="shared" si="28"/>
        <v>271941376.052078</v>
      </c>
      <c r="G59" s="207">
        <f t="shared" si="28"/>
        <v>284171812.4475095</v>
      </c>
      <c r="H59" s="207">
        <f t="shared" si="28"/>
        <v>335288853.416885</v>
      </c>
      <c r="I59" s="207">
        <f t="shared" si="28"/>
        <v>351246855.44037294</v>
      </c>
      <c r="J59" s="207">
        <f t="shared" si="28"/>
        <v>444547184.45343995</v>
      </c>
      <c r="K59" s="207">
        <f t="shared" si="28"/>
        <v>467675974.21025217</v>
      </c>
      <c r="L59" s="207">
        <f t="shared" si="28"/>
        <v>586926695.2608448</v>
      </c>
      <c r="M59" s="207">
        <f t="shared" si="28"/>
        <v>617902238.1189073</v>
      </c>
      <c r="N59" s="207">
        <f t="shared" si="28"/>
        <v>746774189.8435781</v>
      </c>
      <c r="O59" s="207">
        <f t="shared" si="28"/>
        <v>787551201.3445096</v>
      </c>
      <c r="P59" s="207">
        <f t="shared" si="28"/>
        <v>938672481.2741332</v>
      </c>
      <c r="Q59" s="207">
        <f t="shared" si="28"/>
        <v>991368017.3928432</v>
      </c>
      <c r="R59" s="207">
        <f>SUM(R48:R50)+SUM(R53:R54)+R58</f>
        <v>1047487255.7138598</v>
      </c>
    </row>
    <row r="60" spans="1:18" ht="12.75">
      <c r="A60" s="206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9"/>
    </row>
    <row r="61" spans="1:18" ht="12.75">
      <c r="A61" s="206" t="s">
        <v>116</v>
      </c>
      <c r="B61" s="214"/>
      <c r="C61" s="214"/>
      <c r="D61" s="214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</row>
    <row r="62" spans="1:18" ht="12.75">
      <c r="A62" s="209" t="s">
        <v>148</v>
      </c>
      <c r="B62" s="209"/>
      <c r="C62" s="216"/>
      <c r="D62" s="216"/>
      <c r="E62" s="216"/>
      <c r="F62" s="216"/>
      <c r="G62" s="216"/>
      <c r="H62" s="209"/>
      <c r="I62" s="209"/>
      <c r="J62" s="209"/>
      <c r="K62" s="209"/>
      <c r="L62" s="209"/>
      <c r="M62" s="224"/>
      <c r="N62" s="209"/>
      <c r="O62" s="209"/>
      <c r="P62" s="209"/>
      <c r="Q62" s="209"/>
      <c r="R62" s="209"/>
    </row>
    <row r="63" spans="1:18" ht="12.75">
      <c r="A63" s="209" t="s">
        <v>173</v>
      </c>
      <c r="B63" s="216"/>
      <c r="C63" s="216"/>
      <c r="D63" s="216"/>
      <c r="E63" s="216"/>
      <c r="F63" s="216">
        <v>350000000</v>
      </c>
      <c r="G63" s="216"/>
      <c r="H63" s="216"/>
      <c r="I63" s="216"/>
      <c r="J63" s="216">
        <v>350000000</v>
      </c>
      <c r="K63" s="216"/>
      <c r="L63" s="216"/>
      <c r="M63" s="216"/>
      <c r="N63" s="216"/>
      <c r="O63" s="216"/>
      <c r="P63" s="216"/>
      <c r="Q63" s="216"/>
      <c r="R63" s="216"/>
    </row>
    <row r="64" spans="1:18" ht="12.75">
      <c r="A64" s="209" t="s">
        <v>114</v>
      </c>
      <c r="B64" s="216">
        <v>0</v>
      </c>
      <c r="C64" s="216">
        <f>C104</f>
        <v>127200000</v>
      </c>
      <c r="D64" s="216">
        <f>+C64*(1.06)</f>
        <v>134832000</v>
      </c>
      <c r="E64" s="216">
        <f>+D64*(1.06)</f>
        <v>142921920</v>
      </c>
      <c r="F64" s="216">
        <f aca="true" t="shared" si="29" ref="F64:R64">+E64*(1.06)</f>
        <v>151497235.20000002</v>
      </c>
      <c r="G64" s="216">
        <f t="shared" si="29"/>
        <v>160587069.31200004</v>
      </c>
      <c r="H64" s="216">
        <f t="shared" si="29"/>
        <v>170222293.47072005</v>
      </c>
      <c r="I64" s="216">
        <f t="shared" si="29"/>
        <v>180435631.07896328</v>
      </c>
      <c r="J64" s="216">
        <f t="shared" si="29"/>
        <v>191261768.9437011</v>
      </c>
      <c r="K64" s="216">
        <f t="shared" si="29"/>
        <v>202737475.08032316</v>
      </c>
      <c r="L64" s="216">
        <f t="shared" si="29"/>
        <v>214901723.58514255</v>
      </c>
      <c r="M64" s="216">
        <f t="shared" si="29"/>
        <v>227795827.0002511</v>
      </c>
      <c r="N64" s="216">
        <f t="shared" si="29"/>
        <v>241463576.6202662</v>
      </c>
      <c r="O64" s="216">
        <f t="shared" si="29"/>
        <v>255951391.21748218</v>
      </c>
      <c r="P64" s="216">
        <f t="shared" si="29"/>
        <v>271308474.69053113</v>
      </c>
      <c r="Q64" s="216">
        <f t="shared" si="29"/>
        <v>287586983.17196304</v>
      </c>
      <c r="R64" s="216">
        <f t="shared" si="29"/>
        <v>304842202.16228086</v>
      </c>
    </row>
    <row r="65" spans="1:18" ht="12.75">
      <c r="A65" s="209" t="s">
        <v>115</v>
      </c>
      <c r="B65" s="216">
        <f>+B64*0.18</f>
        <v>0</v>
      </c>
      <c r="C65" s="216">
        <f>+C64*0.18</f>
        <v>22896000</v>
      </c>
      <c r="D65" s="216">
        <f aca="true" t="shared" si="30" ref="D65:Q65">+D64*0.18</f>
        <v>24269760</v>
      </c>
      <c r="E65" s="216">
        <f t="shared" si="30"/>
        <v>25725945.599999998</v>
      </c>
      <c r="F65" s="216">
        <f t="shared" si="30"/>
        <v>27269502.336000003</v>
      </c>
      <c r="G65" s="216">
        <f t="shared" si="30"/>
        <v>28905672.476160005</v>
      </c>
      <c r="H65" s="216">
        <f t="shared" si="30"/>
        <v>30640012.824729607</v>
      </c>
      <c r="I65" s="216">
        <f t="shared" si="30"/>
        <v>32478413.59421339</v>
      </c>
      <c r="J65" s="216">
        <f t="shared" si="30"/>
        <v>34427118.40986619</v>
      </c>
      <c r="K65" s="216">
        <f t="shared" si="30"/>
        <v>36492745.514458165</v>
      </c>
      <c r="L65" s="216">
        <f t="shared" si="30"/>
        <v>38682310.245325655</v>
      </c>
      <c r="M65" s="216">
        <f t="shared" si="30"/>
        <v>41003248.8600452</v>
      </c>
      <c r="N65" s="216">
        <f t="shared" si="30"/>
        <v>43463443.79164791</v>
      </c>
      <c r="O65" s="216">
        <f t="shared" si="30"/>
        <v>46071250.41914679</v>
      </c>
      <c r="P65" s="216">
        <f t="shared" si="30"/>
        <v>48835525.4442956</v>
      </c>
      <c r="Q65" s="216">
        <f t="shared" si="30"/>
        <v>51765656.970953345</v>
      </c>
      <c r="R65" s="216">
        <f>+R64*0.18</f>
        <v>54871596.38921055</v>
      </c>
    </row>
    <row r="66" spans="1:18" ht="12.75">
      <c r="A66" s="209" t="s">
        <v>142</v>
      </c>
      <c r="B66" s="216">
        <v>0</v>
      </c>
      <c r="C66" s="216">
        <f>150000*360</f>
        <v>54000000</v>
      </c>
      <c r="D66" s="216">
        <f>150000*360</f>
        <v>54000000</v>
      </c>
      <c r="E66" s="216">
        <f>150000*360</f>
        <v>54000000</v>
      </c>
      <c r="F66" s="216">
        <f>E66*1.05</f>
        <v>56700000</v>
      </c>
      <c r="G66" s="216">
        <f aca="true" t="shared" si="31" ref="G66:J67">F66</f>
        <v>56700000</v>
      </c>
      <c r="H66" s="216">
        <f t="shared" si="31"/>
        <v>56700000</v>
      </c>
      <c r="I66" s="216">
        <f t="shared" si="31"/>
        <v>56700000</v>
      </c>
      <c r="J66" s="216">
        <f t="shared" si="31"/>
        <v>56700000</v>
      </c>
      <c r="K66" s="216">
        <f>J66*1.05</f>
        <v>59535000</v>
      </c>
      <c r="L66" s="216">
        <f>K66</f>
        <v>59535000</v>
      </c>
      <c r="M66" s="216">
        <f aca="true" t="shared" si="32" ref="M66:R67">L66</f>
        <v>59535000</v>
      </c>
      <c r="N66" s="216">
        <f t="shared" si="32"/>
        <v>59535000</v>
      </c>
      <c r="O66" s="216">
        <f t="shared" si="32"/>
        <v>59535000</v>
      </c>
      <c r="P66" s="216">
        <f t="shared" si="32"/>
        <v>59535000</v>
      </c>
      <c r="Q66" s="216">
        <f t="shared" si="32"/>
        <v>59535000</v>
      </c>
      <c r="R66" s="216">
        <f t="shared" si="32"/>
        <v>59535000</v>
      </c>
    </row>
    <row r="67" spans="1:18" ht="12.75">
      <c r="A67" s="209" t="s">
        <v>138</v>
      </c>
      <c r="B67" s="216"/>
      <c r="C67" s="216">
        <v>5000000</v>
      </c>
      <c r="D67" s="216">
        <v>5000000</v>
      </c>
      <c r="E67" s="216">
        <v>5000000</v>
      </c>
      <c r="F67" s="216">
        <f>E67*1.2</f>
        <v>6000000</v>
      </c>
      <c r="G67" s="216">
        <f t="shared" si="31"/>
        <v>6000000</v>
      </c>
      <c r="H67" s="216">
        <f t="shared" si="31"/>
        <v>6000000</v>
      </c>
      <c r="I67" s="216">
        <f t="shared" si="31"/>
        <v>6000000</v>
      </c>
      <c r="J67" s="216">
        <f t="shared" si="31"/>
        <v>6000000</v>
      </c>
      <c r="K67" s="216">
        <f>J67*1.2</f>
        <v>7200000</v>
      </c>
      <c r="L67" s="216">
        <f>K67</f>
        <v>7200000</v>
      </c>
      <c r="M67" s="216">
        <f t="shared" si="32"/>
        <v>7200000</v>
      </c>
      <c r="N67" s="216">
        <f t="shared" si="32"/>
        <v>7200000</v>
      </c>
      <c r="O67" s="216">
        <f t="shared" si="32"/>
        <v>7200000</v>
      </c>
      <c r="P67" s="216">
        <f t="shared" si="32"/>
        <v>7200000</v>
      </c>
      <c r="Q67" s="216">
        <f t="shared" si="32"/>
        <v>7200000</v>
      </c>
      <c r="R67" s="216">
        <f t="shared" si="32"/>
        <v>7200000</v>
      </c>
    </row>
    <row r="68" spans="1:18" ht="12.75">
      <c r="A68" s="209" t="s">
        <v>143</v>
      </c>
      <c r="B68" s="216"/>
      <c r="C68" s="216">
        <f>500000*12</f>
        <v>6000000</v>
      </c>
      <c r="D68" s="216">
        <f aca="true" t="shared" si="33" ref="D68:R68">500000*12</f>
        <v>6000000</v>
      </c>
      <c r="E68" s="216">
        <f t="shared" si="33"/>
        <v>6000000</v>
      </c>
      <c r="F68" s="216">
        <f t="shared" si="33"/>
        <v>6000000</v>
      </c>
      <c r="G68" s="216">
        <f t="shared" si="33"/>
        <v>6000000</v>
      </c>
      <c r="H68" s="216">
        <f t="shared" si="33"/>
        <v>6000000</v>
      </c>
      <c r="I68" s="216">
        <f t="shared" si="33"/>
        <v>6000000</v>
      </c>
      <c r="J68" s="216">
        <f t="shared" si="33"/>
        <v>6000000</v>
      </c>
      <c r="K68" s="216">
        <f t="shared" si="33"/>
        <v>6000000</v>
      </c>
      <c r="L68" s="216">
        <f t="shared" si="33"/>
        <v>6000000</v>
      </c>
      <c r="M68" s="216">
        <f t="shared" si="33"/>
        <v>6000000</v>
      </c>
      <c r="N68" s="216">
        <f t="shared" si="33"/>
        <v>6000000</v>
      </c>
      <c r="O68" s="216">
        <f t="shared" si="33"/>
        <v>6000000</v>
      </c>
      <c r="P68" s="216">
        <f t="shared" si="33"/>
        <v>6000000</v>
      </c>
      <c r="Q68" s="216">
        <f t="shared" si="33"/>
        <v>6000000</v>
      </c>
      <c r="R68" s="216">
        <f t="shared" si="33"/>
        <v>6000000</v>
      </c>
    </row>
    <row r="69" spans="1:18" ht="12.75">
      <c r="A69" s="209" t="s">
        <v>137</v>
      </c>
      <c r="B69" s="216">
        <v>0</v>
      </c>
      <c r="C69" s="216">
        <f aca="true" t="shared" si="34" ref="C69:R69">(C29/10)*100</f>
        <v>2192795.32</v>
      </c>
      <c r="D69" s="216">
        <f t="shared" si="34"/>
        <v>2254009.5795999994</v>
      </c>
      <c r="E69" s="216">
        <f t="shared" si="34"/>
        <v>2695889.8137108996</v>
      </c>
      <c r="F69" s="216">
        <f t="shared" si="34"/>
        <v>2778146.9081222266</v>
      </c>
      <c r="G69" s="216">
        <f t="shared" si="34"/>
        <v>2856743.215365893</v>
      </c>
      <c r="H69" s="216">
        <f t="shared" si="34"/>
        <v>3351654.685928744</v>
      </c>
      <c r="I69" s="216">
        <f t="shared" si="34"/>
        <v>3447456.2265066067</v>
      </c>
      <c r="J69" s="216">
        <f t="shared" si="34"/>
        <v>4298989.99403554</v>
      </c>
      <c r="K69" s="216">
        <f t="shared" si="34"/>
        <v>4429161.593856606</v>
      </c>
      <c r="L69" s="216">
        <f t="shared" si="34"/>
        <v>5488934.959602793</v>
      </c>
      <c r="M69" s="216">
        <f t="shared" si="34"/>
        <v>5648676.408390877</v>
      </c>
      <c r="N69" s="216">
        <f t="shared" si="34"/>
        <v>6660558.6157389935</v>
      </c>
      <c r="O69" s="216">
        <f t="shared" si="34"/>
        <v>6855448.774211161</v>
      </c>
      <c r="P69" s="216">
        <f t="shared" si="34"/>
        <v>7955137.677103258</v>
      </c>
      <c r="Q69" s="216">
        <f t="shared" si="34"/>
        <v>8188865.207416355</v>
      </c>
      <c r="R69" s="216">
        <f t="shared" si="34"/>
        <v>8429604.563638844</v>
      </c>
    </row>
    <row r="70" spans="1:18" ht="12.75">
      <c r="A70" s="209" t="s">
        <v>132</v>
      </c>
      <c r="B70" s="216"/>
      <c r="C70" s="216">
        <v>2000000</v>
      </c>
      <c r="D70" s="216">
        <v>2000000</v>
      </c>
      <c r="E70" s="216">
        <v>2000000</v>
      </c>
      <c r="F70" s="216">
        <v>2500000</v>
      </c>
      <c r="G70" s="216">
        <v>2500000</v>
      </c>
      <c r="H70" s="216">
        <v>2500000</v>
      </c>
      <c r="I70" s="216">
        <v>2500000</v>
      </c>
      <c r="J70" s="216">
        <v>2500000</v>
      </c>
      <c r="K70" s="216">
        <v>3000000</v>
      </c>
      <c r="L70" s="216">
        <v>3000000</v>
      </c>
      <c r="M70" s="216">
        <v>3000000</v>
      </c>
      <c r="N70" s="216">
        <v>3000000</v>
      </c>
      <c r="O70" s="216">
        <v>3000000</v>
      </c>
      <c r="P70" s="216">
        <v>3000000</v>
      </c>
      <c r="Q70" s="216">
        <v>3000000</v>
      </c>
      <c r="R70" s="216">
        <v>3000000</v>
      </c>
    </row>
    <row r="71" spans="1:18" ht="12.75">
      <c r="A71" s="209" t="s">
        <v>139</v>
      </c>
      <c r="B71" s="216">
        <v>0</v>
      </c>
      <c r="C71" s="216">
        <v>10000000</v>
      </c>
      <c r="D71" s="216">
        <f>C71*1.05</f>
        <v>10500000</v>
      </c>
      <c r="E71" s="216">
        <f>D71*1.05</f>
        <v>11025000</v>
      </c>
      <c r="F71" s="216">
        <f>E71*1.05</f>
        <v>11576250</v>
      </c>
      <c r="G71" s="216">
        <f aca="true" t="shared" si="35" ref="G71:R71">F71*1.05</f>
        <v>12155062.5</v>
      </c>
      <c r="H71" s="216">
        <f>G71*1.05+9800000</f>
        <v>22562815.625</v>
      </c>
      <c r="I71" s="216">
        <f>H71-9800000</f>
        <v>12762815.625</v>
      </c>
      <c r="J71" s="216">
        <f>I71*1.05</f>
        <v>13400956.40625</v>
      </c>
      <c r="K71" s="216">
        <f>I71*1.05</f>
        <v>13400956.40625</v>
      </c>
      <c r="L71" s="216">
        <f t="shared" si="35"/>
        <v>14071004.2265625</v>
      </c>
      <c r="M71" s="216">
        <f>L71*1.05+9800000*2</f>
        <v>34374554.43789063</v>
      </c>
      <c r="N71" s="216">
        <f>M71*1.05-9800000*2</f>
        <v>16493282.159785159</v>
      </c>
      <c r="O71" s="216">
        <f t="shared" si="35"/>
        <v>17317946.267774418</v>
      </c>
      <c r="P71" s="216">
        <f t="shared" si="35"/>
        <v>18183843.58116314</v>
      </c>
      <c r="Q71" s="216">
        <f t="shared" si="35"/>
        <v>19093035.760221295</v>
      </c>
      <c r="R71" s="216">
        <f t="shared" si="35"/>
        <v>20047687.54823236</v>
      </c>
    </row>
    <row r="72" spans="1:18" ht="12.75" hidden="1">
      <c r="A72" s="209" t="s">
        <v>86</v>
      </c>
      <c r="B72" s="216">
        <f>'CALCUL ANNUITE '!K24*1%</f>
        <v>0</v>
      </c>
      <c r="C72" s="216"/>
      <c r="D72" s="216">
        <f>'CALCUL ANNUITE '!L24*1%</f>
        <v>0</v>
      </c>
      <c r="E72" s="216">
        <f>'CALCUL ANNUITE '!M24*1%</f>
        <v>0</v>
      </c>
      <c r="F72" s="216">
        <f>'CALCUL ANNUITE '!N24*1%</f>
        <v>0</v>
      </c>
      <c r="G72" s="216">
        <f>'CALCUL ANNUITE '!O24*1%</f>
        <v>0</v>
      </c>
      <c r="H72" s="216">
        <f>'CALCUL ANNUITE '!S24*1%</f>
        <v>0</v>
      </c>
      <c r="I72" s="216">
        <f>'CALCUL ANNUITE '!T24*1%</f>
        <v>0</v>
      </c>
      <c r="J72" s="216">
        <f>'CALCUL ANNUITE '!U24*1%</f>
        <v>0</v>
      </c>
      <c r="K72" s="216">
        <f aca="true" t="shared" si="36" ref="K72:R72">+J72*1.02</f>
        <v>0</v>
      </c>
      <c r="L72" s="216">
        <f t="shared" si="36"/>
        <v>0</v>
      </c>
      <c r="M72" s="216">
        <f t="shared" si="36"/>
        <v>0</v>
      </c>
      <c r="N72" s="216">
        <f t="shared" si="36"/>
        <v>0</v>
      </c>
      <c r="O72" s="216">
        <f t="shared" si="36"/>
        <v>0</v>
      </c>
      <c r="P72" s="216">
        <f t="shared" si="36"/>
        <v>0</v>
      </c>
      <c r="Q72" s="216">
        <f t="shared" si="36"/>
        <v>0</v>
      </c>
      <c r="R72" s="216">
        <f t="shared" si="36"/>
        <v>0</v>
      </c>
    </row>
    <row r="73" spans="1:18" ht="12.75">
      <c r="A73" s="206" t="s">
        <v>87</v>
      </c>
      <c r="B73" s="207">
        <f aca="true" t="shared" si="37" ref="B73:M73">+SUM(B62:B72)</f>
        <v>0</v>
      </c>
      <c r="C73" s="207">
        <f t="shared" si="37"/>
        <v>229288795.32</v>
      </c>
      <c r="D73" s="207">
        <f t="shared" si="37"/>
        <v>238855769.5796</v>
      </c>
      <c r="E73" s="207">
        <f t="shared" si="37"/>
        <v>249368755.4137109</v>
      </c>
      <c r="F73" s="207">
        <f t="shared" si="37"/>
        <v>614321134.4441222</v>
      </c>
      <c r="G73" s="207">
        <f t="shared" si="37"/>
        <v>275704547.5035259</v>
      </c>
      <c r="H73" s="207">
        <f t="shared" si="37"/>
        <v>297976776.60637844</v>
      </c>
      <c r="I73" s="207">
        <f t="shared" si="37"/>
        <v>300324316.52468324</v>
      </c>
      <c r="J73" s="207">
        <f t="shared" si="37"/>
        <v>664588833.7538527</v>
      </c>
      <c r="K73" s="207">
        <f t="shared" si="37"/>
        <v>332795338.594888</v>
      </c>
      <c r="L73" s="207">
        <f t="shared" si="37"/>
        <v>348878973.01663345</v>
      </c>
      <c r="M73" s="207">
        <f t="shared" si="37"/>
        <v>384557306.70657784</v>
      </c>
      <c r="N73" s="207">
        <f>+SUM(N64:N72)</f>
        <v>383815861.18743825</v>
      </c>
      <c r="O73" s="207">
        <f>+SUM(O64:O72)</f>
        <v>401931036.67861456</v>
      </c>
      <c r="P73" s="207">
        <f>+SUM(P64:P72)</f>
        <v>422017981.3930931</v>
      </c>
      <c r="Q73" s="207">
        <f>+SUM(Q64:Q72)</f>
        <v>442369541.11055404</v>
      </c>
      <c r="R73" s="207">
        <f>+SUM(R64:R72)</f>
        <v>463926090.6633626</v>
      </c>
    </row>
    <row r="74" spans="1:18" ht="12.75">
      <c r="A74" s="206" t="s">
        <v>52</v>
      </c>
      <c r="B74" s="207">
        <f aca="true" t="shared" si="38" ref="B74:Q74">SUM(B64:B72)</f>
        <v>0</v>
      </c>
      <c r="C74" s="207">
        <f t="shared" si="38"/>
        <v>229288795.32</v>
      </c>
      <c r="D74" s="207">
        <f t="shared" si="38"/>
        <v>238855769.5796</v>
      </c>
      <c r="E74" s="207">
        <f t="shared" si="38"/>
        <v>249368755.4137109</v>
      </c>
      <c r="F74" s="207">
        <f t="shared" si="38"/>
        <v>264321134.44412225</v>
      </c>
      <c r="G74" s="207">
        <f t="shared" si="38"/>
        <v>275704547.5035259</v>
      </c>
      <c r="H74" s="207">
        <f t="shared" si="38"/>
        <v>297976776.60637844</v>
      </c>
      <c r="I74" s="207">
        <f t="shared" si="38"/>
        <v>300324316.52468324</v>
      </c>
      <c r="J74" s="207">
        <f t="shared" si="38"/>
        <v>314588833.7538528</v>
      </c>
      <c r="K74" s="207">
        <f t="shared" si="38"/>
        <v>332795338.594888</v>
      </c>
      <c r="L74" s="207">
        <f t="shared" si="38"/>
        <v>348878973.01663345</v>
      </c>
      <c r="M74" s="207">
        <f t="shared" si="38"/>
        <v>384557306.70657784</v>
      </c>
      <c r="N74" s="207">
        <f t="shared" si="38"/>
        <v>383815861.18743825</v>
      </c>
      <c r="O74" s="207">
        <f t="shared" si="38"/>
        <v>401931036.67861456</v>
      </c>
      <c r="P74" s="207">
        <f t="shared" si="38"/>
        <v>422017981.3930931</v>
      </c>
      <c r="Q74" s="207">
        <f t="shared" si="38"/>
        <v>442369541.11055404</v>
      </c>
      <c r="R74" s="207">
        <f>SUM(R64:R72)</f>
        <v>463926090.6633626</v>
      </c>
    </row>
    <row r="75" spans="1:18" ht="12.75">
      <c r="A75" s="209" t="s">
        <v>133</v>
      </c>
      <c r="B75" s="216">
        <v>0</v>
      </c>
      <c r="C75" s="216">
        <f>Amortissement!E7</f>
        <v>17970000</v>
      </c>
      <c r="D75" s="216">
        <f>Amortissement!G7</f>
        <v>17970000</v>
      </c>
      <c r="E75" s="216">
        <f>Amortissement!H7</f>
        <v>17970000</v>
      </c>
      <c r="F75" s="216">
        <f>Amortissement!I7</f>
        <v>24970000</v>
      </c>
      <c r="G75" s="216">
        <f>Amortissement!J7</f>
        <v>24970000</v>
      </c>
      <c r="H75" s="216">
        <f>Amortissement!K7</f>
        <v>24970000</v>
      </c>
      <c r="I75" s="216">
        <f>Amortissement!L7</f>
        <v>24970000</v>
      </c>
      <c r="J75" s="216">
        <f>Amortissement!M7</f>
        <v>31970000</v>
      </c>
      <c r="K75" s="216">
        <f>Amortissement!N7</f>
        <v>31970000</v>
      </c>
      <c r="L75" s="216">
        <f>Amortissement!O7</f>
        <v>31970000</v>
      </c>
      <c r="M75" s="216">
        <f>Amortissement!P7</f>
        <v>31970000</v>
      </c>
      <c r="N75" s="216">
        <f>Amortissement!Q7</f>
        <v>31970000</v>
      </c>
      <c r="O75" s="216">
        <f>Amortissement!R7</f>
        <v>31970000</v>
      </c>
      <c r="P75" s="216">
        <f>Amortissement!S7</f>
        <v>31970000</v>
      </c>
      <c r="Q75" s="216">
        <f>Amortissement!T7</f>
        <v>31970000</v>
      </c>
      <c r="R75" s="216">
        <f>Amortissement!U7</f>
        <v>31970000</v>
      </c>
    </row>
    <row r="76" spans="1:18" ht="12.75">
      <c r="A76" s="206" t="s">
        <v>126</v>
      </c>
      <c r="B76" s="225">
        <f aca="true" t="shared" si="39" ref="B76:N76">+B75</f>
        <v>0</v>
      </c>
      <c r="C76" s="225">
        <f>+C75</f>
        <v>17970000</v>
      </c>
      <c r="D76" s="225">
        <f>+D75</f>
        <v>17970000</v>
      </c>
      <c r="E76" s="225">
        <f t="shared" si="39"/>
        <v>17970000</v>
      </c>
      <c r="F76" s="225">
        <f t="shared" si="39"/>
        <v>24970000</v>
      </c>
      <c r="G76" s="225">
        <f t="shared" si="39"/>
        <v>24970000</v>
      </c>
      <c r="H76" s="225">
        <f t="shared" si="39"/>
        <v>24970000</v>
      </c>
      <c r="I76" s="225">
        <f t="shared" si="39"/>
        <v>24970000</v>
      </c>
      <c r="J76" s="225">
        <f t="shared" si="39"/>
        <v>31970000</v>
      </c>
      <c r="K76" s="225">
        <f t="shared" si="39"/>
        <v>31970000</v>
      </c>
      <c r="L76" s="225">
        <f t="shared" si="39"/>
        <v>31970000</v>
      </c>
      <c r="M76" s="225">
        <f t="shared" si="39"/>
        <v>31970000</v>
      </c>
      <c r="N76" s="225">
        <f t="shared" si="39"/>
        <v>31970000</v>
      </c>
      <c r="O76" s="225">
        <f>+O75</f>
        <v>31970000</v>
      </c>
      <c r="P76" s="225">
        <f>+P75</f>
        <v>31970000</v>
      </c>
      <c r="Q76" s="225">
        <f>+Q75</f>
        <v>31970000</v>
      </c>
      <c r="R76" s="225">
        <f>+R75</f>
        <v>31970000</v>
      </c>
    </row>
    <row r="77" spans="1:18" ht="12.75" hidden="1">
      <c r="A77" s="206" t="s">
        <v>92</v>
      </c>
      <c r="B77" s="226" t="e">
        <f>B75/B59</f>
        <v>#DIV/0!</v>
      </c>
      <c r="C77" s="226"/>
      <c r="D77" s="226">
        <f aca="true" t="shared" si="40" ref="D77:Q77">D75/D59</f>
        <v>0.08230498581693144</v>
      </c>
      <c r="E77" s="226">
        <f t="shared" si="40"/>
        <v>0.06915547930280454</v>
      </c>
      <c r="F77" s="226">
        <f t="shared" si="40"/>
        <v>0.09182126075297248</v>
      </c>
      <c r="G77" s="226">
        <f t="shared" si="40"/>
        <v>0.08786937657517424</v>
      </c>
      <c r="H77" s="226">
        <f t="shared" si="40"/>
        <v>0.07447309907721054</v>
      </c>
      <c r="I77" s="226">
        <f t="shared" si="40"/>
        <v>0.07108960439999971</v>
      </c>
      <c r="J77" s="226">
        <f t="shared" si="40"/>
        <v>0.0719158755651694</v>
      </c>
      <c r="K77" s="226">
        <f t="shared" si="40"/>
        <v>0.06835929524493237</v>
      </c>
      <c r="L77" s="226">
        <f t="shared" si="40"/>
        <v>0.05447017533559576</v>
      </c>
      <c r="M77" s="226">
        <f t="shared" si="40"/>
        <v>0.05173957630793981</v>
      </c>
      <c r="N77" s="226">
        <f t="shared" si="40"/>
        <v>0.04281079934845706</v>
      </c>
      <c r="O77" s="226">
        <f t="shared" si="40"/>
        <v>0.040594186061072256</v>
      </c>
      <c r="P77" s="226">
        <f t="shared" si="40"/>
        <v>0.03405873788544928</v>
      </c>
      <c r="Q77" s="226">
        <f t="shared" si="40"/>
        <v>0.032248367346040224</v>
      </c>
      <c r="R77" s="226">
        <f>R75/R59</f>
        <v>0.03052065772219112</v>
      </c>
    </row>
    <row r="78" spans="1:18" ht="12.75" hidden="1">
      <c r="A78" s="206" t="s">
        <v>93</v>
      </c>
      <c r="B78" s="227" t="e">
        <f>B76/#REF!</f>
        <v>#REF!</v>
      </c>
      <c r="C78" s="227"/>
      <c r="D78" s="227" t="e">
        <f>D76/#REF!</f>
        <v>#REF!</v>
      </c>
      <c r="E78" s="227" t="e">
        <f>E76/#REF!</f>
        <v>#REF!</v>
      </c>
      <c r="F78" s="227" t="e">
        <f>F76/#REF!</f>
        <v>#REF!</v>
      </c>
      <c r="G78" s="227" t="e">
        <f>G76/#REF!</f>
        <v>#REF!</v>
      </c>
      <c r="H78" s="227" t="e">
        <f>H76/#REF!</f>
        <v>#REF!</v>
      </c>
      <c r="I78" s="227" t="e">
        <f>I76/#REF!</f>
        <v>#REF!</v>
      </c>
      <c r="J78" s="227" t="e">
        <f>J76/#REF!</f>
        <v>#REF!</v>
      </c>
      <c r="K78" s="227" t="e">
        <f>K76/#REF!</f>
        <v>#REF!</v>
      </c>
      <c r="L78" s="227" t="e">
        <f>L76/#REF!</f>
        <v>#REF!</v>
      </c>
      <c r="M78" s="227" t="e">
        <f>M76/#REF!</f>
        <v>#REF!</v>
      </c>
      <c r="N78" s="227" t="e">
        <f>N76/#REF!</f>
        <v>#REF!</v>
      </c>
      <c r="O78" s="227" t="e">
        <f>O76/#REF!</f>
        <v>#REF!</v>
      </c>
      <c r="P78" s="227" t="e">
        <f>P76/#REF!</f>
        <v>#REF!</v>
      </c>
      <c r="Q78" s="227" t="e">
        <f>Q76/#REF!</f>
        <v>#REF!</v>
      </c>
      <c r="R78" s="227" t="e">
        <f>R76/#REF!</f>
        <v>#REF!</v>
      </c>
    </row>
    <row r="79" spans="1:18" ht="12.75">
      <c r="A79" s="209" t="s">
        <v>125</v>
      </c>
      <c r="B79" s="216">
        <f aca="true" t="shared" si="41" ref="B79:Q79">+B59*0.02</f>
        <v>0</v>
      </c>
      <c r="C79" s="216">
        <f t="shared" si="41"/>
        <v>4194201.694400001</v>
      </c>
      <c r="D79" s="216">
        <f t="shared" si="41"/>
        <v>4366685.644043519</v>
      </c>
      <c r="E79" s="216">
        <f t="shared" si="41"/>
        <v>5196985.164781077</v>
      </c>
      <c r="F79" s="216">
        <f t="shared" si="41"/>
        <v>5438827.52104156</v>
      </c>
      <c r="G79" s="216">
        <f t="shared" si="41"/>
        <v>5683436.248950191</v>
      </c>
      <c r="H79" s="216">
        <f t="shared" si="41"/>
        <v>6705777.0683377</v>
      </c>
      <c r="I79" s="216">
        <f t="shared" si="41"/>
        <v>7024937.1088074595</v>
      </c>
      <c r="J79" s="216">
        <f t="shared" si="41"/>
        <v>8890943.6890688</v>
      </c>
      <c r="K79" s="216">
        <f t="shared" si="41"/>
        <v>9353519.484205043</v>
      </c>
      <c r="L79" s="216">
        <f t="shared" si="41"/>
        <v>11738533.905216897</v>
      </c>
      <c r="M79" s="216">
        <f t="shared" si="41"/>
        <v>12358044.762378147</v>
      </c>
      <c r="N79" s="216">
        <f t="shared" si="41"/>
        <v>14935483.796871562</v>
      </c>
      <c r="O79" s="216">
        <f t="shared" si="41"/>
        <v>15751024.026890192</v>
      </c>
      <c r="P79" s="216">
        <f t="shared" si="41"/>
        <v>18773449.625482664</v>
      </c>
      <c r="Q79" s="216">
        <f t="shared" si="41"/>
        <v>19827360.347856864</v>
      </c>
      <c r="R79" s="216">
        <f>+R59*0.02</f>
        <v>20949745.114277195</v>
      </c>
    </row>
    <row r="80" spans="1:18" ht="12.75">
      <c r="A80" s="209" t="s">
        <v>131</v>
      </c>
      <c r="B80" s="216">
        <v>0</v>
      </c>
      <c r="C80" s="216">
        <f aca="true" t="shared" si="42" ref="C80:Q80">+C59*0.05</f>
        <v>10485504.236000001</v>
      </c>
      <c r="D80" s="216">
        <f t="shared" si="42"/>
        <v>10916714.1101088</v>
      </c>
      <c r="E80" s="216">
        <f t="shared" si="42"/>
        <v>12992462.911952693</v>
      </c>
      <c r="F80" s="216">
        <f t="shared" si="42"/>
        <v>13597068.8026039</v>
      </c>
      <c r="G80" s="216">
        <f t="shared" si="42"/>
        <v>14208590.622375477</v>
      </c>
      <c r="H80" s="216">
        <f t="shared" si="42"/>
        <v>16764442.670844251</v>
      </c>
      <c r="I80" s="216">
        <f t="shared" si="42"/>
        <v>17562342.77201865</v>
      </c>
      <c r="J80" s="216">
        <f t="shared" si="42"/>
        <v>22227359.222672</v>
      </c>
      <c r="K80" s="216">
        <f t="shared" si="42"/>
        <v>23383798.71051261</v>
      </c>
      <c r="L80" s="216">
        <f t="shared" si="42"/>
        <v>29346334.76304224</v>
      </c>
      <c r="M80" s="216">
        <f t="shared" si="42"/>
        <v>30895111.905945368</v>
      </c>
      <c r="N80" s="216">
        <f t="shared" si="42"/>
        <v>37338709.49217891</v>
      </c>
      <c r="O80" s="216">
        <f t="shared" si="42"/>
        <v>39377560.06722548</v>
      </c>
      <c r="P80" s="216">
        <f t="shared" si="42"/>
        <v>46933624.063706666</v>
      </c>
      <c r="Q80" s="216">
        <f t="shared" si="42"/>
        <v>49568400.86964217</v>
      </c>
      <c r="R80" s="216">
        <f>+R59*0.05</f>
        <v>52374362.78569299</v>
      </c>
    </row>
    <row r="81" spans="1:18" ht="12.75">
      <c r="A81" s="206" t="s">
        <v>4</v>
      </c>
      <c r="B81" s="225">
        <f aca="true" t="shared" si="43" ref="B81:Q81">SUM(B79:B80)</f>
        <v>0</v>
      </c>
      <c r="C81" s="225">
        <f t="shared" si="43"/>
        <v>14679705.930400003</v>
      </c>
      <c r="D81" s="225">
        <f t="shared" si="43"/>
        <v>15283399.75415232</v>
      </c>
      <c r="E81" s="225">
        <f t="shared" si="43"/>
        <v>18189448.076733768</v>
      </c>
      <c r="F81" s="225">
        <f t="shared" si="43"/>
        <v>19035896.32364546</v>
      </c>
      <c r="G81" s="225">
        <f t="shared" si="43"/>
        <v>19892026.871325668</v>
      </c>
      <c r="H81" s="225">
        <f t="shared" si="43"/>
        <v>23470219.73918195</v>
      </c>
      <c r="I81" s="225">
        <f t="shared" si="43"/>
        <v>24587279.88082611</v>
      </c>
      <c r="J81" s="225">
        <f t="shared" si="43"/>
        <v>31118302.911740802</v>
      </c>
      <c r="K81" s="225">
        <f t="shared" si="43"/>
        <v>32737318.194717653</v>
      </c>
      <c r="L81" s="225">
        <f t="shared" si="43"/>
        <v>41084868.66825914</v>
      </c>
      <c r="M81" s="225">
        <f t="shared" si="43"/>
        <v>43253156.66832352</v>
      </c>
      <c r="N81" s="225">
        <f t="shared" si="43"/>
        <v>52274193.289050475</v>
      </c>
      <c r="O81" s="225">
        <f t="shared" si="43"/>
        <v>55128584.094115674</v>
      </c>
      <c r="P81" s="225">
        <f t="shared" si="43"/>
        <v>65707073.68918933</v>
      </c>
      <c r="Q81" s="225">
        <f t="shared" si="43"/>
        <v>69395761.21749903</v>
      </c>
      <c r="R81" s="225">
        <f>SUM(R79:R80)</f>
        <v>73324107.89997019</v>
      </c>
    </row>
    <row r="82" spans="1:18" ht="12.75">
      <c r="A82" s="206" t="s">
        <v>5</v>
      </c>
      <c r="B82" s="225">
        <f aca="true" t="shared" si="44" ref="B82:Q82">B73+B76+B81</f>
        <v>0</v>
      </c>
      <c r="C82" s="225">
        <f t="shared" si="44"/>
        <v>261938501.2504</v>
      </c>
      <c r="D82" s="225">
        <f t="shared" si="44"/>
        <v>272109169.33375233</v>
      </c>
      <c r="E82" s="225">
        <f t="shared" si="44"/>
        <v>285528203.49044466</v>
      </c>
      <c r="F82" s="225">
        <f t="shared" si="44"/>
        <v>658327030.7677677</v>
      </c>
      <c r="G82" s="225">
        <f t="shared" si="44"/>
        <v>320566574.3748516</v>
      </c>
      <c r="H82" s="225">
        <f t="shared" si="44"/>
        <v>346416996.3455604</v>
      </c>
      <c r="I82" s="225">
        <f t="shared" si="44"/>
        <v>349881596.40550935</v>
      </c>
      <c r="J82" s="225">
        <f t="shared" si="44"/>
        <v>727677136.6655935</v>
      </c>
      <c r="K82" s="225">
        <f t="shared" si="44"/>
        <v>397502656.7896056</v>
      </c>
      <c r="L82" s="225">
        <f t="shared" si="44"/>
        <v>421933841.6848926</v>
      </c>
      <c r="M82" s="225">
        <f t="shared" si="44"/>
        <v>459780463.37490135</v>
      </c>
      <c r="N82" s="225">
        <f t="shared" si="44"/>
        <v>468060054.4764887</v>
      </c>
      <c r="O82" s="225">
        <f t="shared" si="44"/>
        <v>489029620.77273023</v>
      </c>
      <c r="P82" s="225">
        <f t="shared" si="44"/>
        <v>519695055.0822824</v>
      </c>
      <c r="Q82" s="225">
        <f t="shared" si="44"/>
        <v>543735302.3280531</v>
      </c>
      <c r="R82" s="225">
        <f>R73+R76+R81</f>
        <v>569220198.5633328</v>
      </c>
    </row>
    <row r="83" spans="1:18" ht="12.75">
      <c r="A83" s="206" t="s">
        <v>52</v>
      </c>
      <c r="B83" s="225">
        <v>0</v>
      </c>
      <c r="C83" s="225">
        <v>0</v>
      </c>
      <c r="D83" s="225">
        <f aca="true" t="shared" si="45" ref="D83:Q83">D81+D76+D74</f>
        <v>272109169.33375233</v>
      </c>
      <c r="E83" s="225">
        <f t="shared" si="45"/>
        <v>285528203.49044466</v>
      </c>
      <c r="F83" s="225">
        <f t="shared" si="45"/>
        <v>308327030.7677677</v>
      </c>
      <c r="G83" s="225">
        <f t="shared" si="45"/>
        <v>320566574.3748516</v>
      </c>
      <c r="H83" s="225">
        <f t="shared" si="45"/>
        <v>346416996.3455604</v>
      </c>
      <c r="I83" s="225">
        <f t="shared" si="45"/>
        <v>349881596.40550935</v>
      </c>
      <c r="J83" s="225">
        <f t="shared" si="45"/>
        <v>377677136.66559356</v>
      </c>
      <c r="K83" s="225">
        <f t="shared" si="45"/>
        <v>397502656.7896056</v>
      </c>
      <c r="L83" s="225">
        <f t="shared" si="45"/>
        <v>421933841.6848926</v>
      </c>
      <c r="M83" s="225">
        <f t="shared" si="45"/>
        <v>459780463.37490135</v>
      </c>
      <c r="N83" s="225">
        <f t="shared" si="45"/>
        <v>468060054.4764887</v>
      </c>
      <c r="O83" s="225">
        <f t="shared" si="45"/>
        <v>489029620.77273023</v>
      </c>
      <c r="P83" s="225">
        <f t="shared" si="45"/>
        <v>519695055.0822824</v>
      </c>
      <c r="Q83" s="225">
        <f t="shared" si="45"/>
        <v>543735302.3280531</v>
      </c>
      <c r="R83" s="225">
        <f>R81+R76+R74</f>
        <v>569220198.5633328</v>
      </c>
    </row>
    <row r="84" spans="1:18" ht="12.75">
      <c r="A84" s="209" t="s">
        <v>6</v>
      </c>
      <c r="B84" s="214">
        <f>B59-B73-B76-B81</f>
        <v>0</v>
      </c>
      <c r="C84" s="214">
        <f>C59-C73-C76</f>
        <v>-37548710.599999964</v>
      </c>
      <c r="D84" s="214">
        <f aca="true" t="shared" si="46" ref="D84:R84">D59-D73-D76</f>
        <v>-38491487.37742403</v>
      </c>
      <c r="E84" s="214">
        <f t="shared" si="46"/>
        <v>-7489497.174657047</v>
      </c>
      <c r="F84" s="214">
        <f t="shared" si="46"/>
        <v>-367349758.3920442</v>
      </c>
      <c r="G84" s="214">
        <f t="shared" si="46"/>
        <v>-16502735.056016386</v>
      </c>
      <c r="H84" s="214">
        <f t="shared" si="46"/>
        <v>12342076.810506582</v>
      </c>
      <c r="I84" s="214">
        <f t="shared" si="46"/>
        <v>25952538.915689707</v>
      </c>
      <c r="J84" s="214">
        <f t="shared" si="46"/>
        <v>-252011649.30041277</v>
      </c>
      <c r="K84" s="214">
        <f t="shared" si="46"/>
        <v>102910635.6153642</v>
      </c>
      <c r="L84" s="214">
        <f t="shared" si="46"/>
        <v>206077722.24421138</v>
      </c>
      <c r="M84" s="214">
        <f t="shared" si="46"/>
        <v>201374931.4123295</v>
      </c>
      <c r="N84" s="214">
        <f t="shared" si="46"/>
        <v>330988328.65613985</v>
      </c>
      <c r="O84" s="214">
        <f t="shared" si="46"/>
        <v>353650164.66589504</v>
      </c>
      <c r="P84" s="214">
        <f t="shared" si="46"/>
        <v>484684499.8810401</v>
      </c>
      <c r="Q84" s="214">
        <f t="shared" si="46"/>
        <v>517028476.28228927</v>
      </c>
      <c r="R84" s="214">
        <f t="shared" si="46"/>
        <v>551591165.0504972</v>
      </c>
    </row>
    <row r="85" spans="1:18" ht="12.75">
      <c r="A85" s="209" t="s">
        <v>7</v>
      </c>
      <c r="B85" s="214">
        <f aca="true" t="shared" si="47" ref="B85:Q85">B59-B73-B81</f>
        <v>0</v>
      </c>
      <c r="C85" s="214">
        <f>C59-C73-C81</f>
        <v>-34258416.53039996</v>
      </c>
      <c r="D85" s="214">
        <f>D59-D73-D81</f>
        <v>-35804887.13157635</v>
      </c>
      <c r="E85" s="214">
        <f t="shared" si="47"/>
        <v>-7708945.251390815</v>
      </c>
      <c r="F85" s="214">
        <f t="shared" si="47"/>
        <v>-361415654.71568966</v>
      </c>
      <c r="G85" s="214">
        <f t="shared" si="47"/>
        <v>-11424761.927342054</v>
      </c>
      <c r="H85" s="214">
        <f t="shared" si="47"/>
        <v>13841857.071324632</v>
      </c>
      <c r="I85" s="214">
        <f t="shared" si="47"/>
        <v>26335259.0348636</v>
      </c>
      <c r="J85" s="214">
        <f t="shared" si="47"/>
        <v>-251159952.21215358</v>
      </c>
      <c r="K85" s="214">
        <f t="shared" si="47"/>
        <v>102143317.42064655</v>
      </c>
      <c r="L85" s="214">
        <f t="shared" si="47"/>
        <v>196962853.57595223</v>
      </c>
      <c r="M85" s="214">
        <f t="shared" si="47"/>
        <v>190091774.74400598</v>
      </c>
      <c r="N85" s="214">
        <f t="shared" si="47"/>
        <v>310684135.3670894</v>
      </c>
      <c r="O85" s="214">
        <f t="shared" si="47"/>
        <v>330491580.5717794</v>
      </c>
      <c r="P85" s="214">
        <f t="shared" si="47"/>
        <v>450947426.1918508</v>
      </c>
      <c r="Q85" s="214">
        <f t="shared" si="47"/>
        <v>479602715.06479025</v>
      </c>
      <c r="R85" s="214">
        <f>R59-R73-R81</f>
        <v>510237057.150527</v>
      </c>
    </row>
    <row r="86" spans="1:18" ht="12.75">
      <c r="A86" s="209" t="s">
        <v>8</v>
      </c>
      <c r="B86" s="214">
        <f>B85</f>
        <v>0</v>
      </c>
      <c r="C86" s="214">
        <f>C85</f>
        <v>-34258416.53039996</v>
      </c>
      <c r="D86" s="214">
        <f>+C86+D85</f>
        <v>-70063303.66197631</v>
      </c>
      <c r="E86" s="214">
        <f>+D86+E85</f>
        <v>-77772248.91336712</v>
      </c>
      <c r="F86" s="214">
        <f aca="true" t="shared" si="48" ref="F86:R86">+E86+F85</f>
        <v>-439187903.6290568</v>
      </c>
      <c r="G86" s="214">
        <f t="shared" si="48"/>
        <v>-450612665.55639887</v>
      </c>
      <c r="H86" s="214">
        <f t="shared" si="48"/>
        <v>-436770808.4850742</v>
      </c>
      <c r="I86" s="214">
        <f t="shared" si="48"/>
        <v>-410435549.45021063</v>
      </c>
      <c r="J86" s="214">
        <f t="shared" si="48"/>
        <v>-661595501.6623642</v>
      </c>
      <c r="K86" s="214">
        <f t="shared" si="48"/>
        <v>-559452184.2417177</v>
      </c>
      <c r="L86" s="214">
        <f t="shared" si="48"/>
        <v>-362489330.66576546</v>
      </c>
      <c r="M86" s="214">
        <f t="shared" si="48"/>
        <v>-172397555.9217595</v>
      </c>
      <c r="N86" s="214">
        <f t="shared" si="48"/>
        <v>138286579.4453299</v>
      </c>
      <c r="O86" s="214">
        <f t="shared" si="48"/>
        <v>468778160.0171093</v>
      </c>
      <c r="P86" s="214">
        <f t="shared" si="48"/>
        <v>919725586.20896</v>
      </c>
      <c r="Q86" s="214">
        <f t="shared" si="48"/>
        <v>1399328301.2737503</v>
      </c>
      <c r="R86" s="214">
        <f t="shared" si="48"/>
        <v>1909565358.4242773</v>
      </c>
    </row>
    <row r="87" spans="1:18" ht="12.75" hidden="1">
      <c r="A87" s="209" t="s">
        <v>57</v>
      </c>
      <c r="B87" s="214" t="e">
        <f>#REF!+#REF!</f>
        <v>#REF!</v>
      </c>
      <c r="C87" s="214" t="e">
        <f>#REF!+#REF!</f>
        <v>#REF!</v>
      </c>
      <c r="D87" s="214" t="e">
        <f>B87+#REF!</f>
        <v>#REF!</v>
      </c>
      <c r="E87" s="214" t="e">
        <f>D87+#REF!</f>
        <v>#REF!</v>
      </c>
      <c r="F87" s="214" t="e">
        <f>E87+#REF!</f>
        <v>#REF!</v>
      </c>
      <c r="G87" s="214" t="e">
        <f>F87+#REF!</f>
        <v>#REF!</v>
      </c>
      <c r="H87" s="214" t="e">
        <f>#REF!+#REF!</f>
        <v>#REF!</v>
      </c>
      <c r="I87" s="214" t="e">
        <f>#REF!+#REF!</f>
        <v>#REF!</v>
      </c>
      <c r="J87" s="214" t="e">
        <f>#REF!+#REF!</f>
        <v>#REF!</v>
      </c>
      <c r="K87" s="214" t="e">
        <f>#REF!+#REF!</f>
        <v>#REF!</v>
      </c>
      <c r="L87" s="214" t="e">
        <f>#REF!+#REF!</f>
        <v>#REF!</v>
      </c>
      <c r="M87" s="214" t="e">
        <f>#REF!+#REF!</f>
        <v>#REF!</v>
      </c>
      <c r="N87" s="214" t="e">
        <f>#REF!+#REF!</f>
        <v>#REF!</v>
      </c>
      <c r="O87" s="214" t="e">
        <f>#REF!+#REF!</f>
        <v>#REF!</v>
      </c>
      <c r="P87" s="214" t="e">
        <f>#REF!+#REF!</f>
        <v>#REF!</v>
      </c>
      <c r="Q87" s="214" t="e">
        <f>#REF!+#REF!</f>
        <v>#REF!</v>
      </c>
      <c r="R87" s="214" t="e">
        <f>#REF!+#REF!</f>
        <v>#REF!</v>
      </c>
    </row>
    <row r="88" spans="1:18" ht="12.75">
      <c r="A88" s="209" t="s">
        <v>9</v>
      </c>
      <c r="B88" s="214">
        <f aca="true" t="shared" si="49" ref="B88:Q88">B59-B82</f>
        <v>0</v>
      </c>
      <c r="C88" s="214">
        <f>C59-C82</f>
        <v>-52228416.53039998</v>
      </c>
      <c r="D88" s="214">
        <f t="shared" si="49"/>
        <v>-53774887.13157636</v>
      </c>
      <c r="E88" s="214">
        <f t="shared" si="49"/>
        <v>-25678945.251390815</v>
      </c>
      <c r="F88" s="214">
        <f t="shared" si="49"/>
        <v>-386385654.71568966</v>
      </c>
      <c r="G88" s="214">
        <f t="shared" si="49"/>
        <v>-36394761.92734206</v>
      </c>
      <c r="H88" s="214">
        <f t="shared" si="49"/>
        <v>-11128142.928675354</v>
      </c>
      <c r="I88" s="214">
        <f t="shared" si="49"/>
        <v>1365259.0348635912</v>
      </c>
      <c r="J88" s="214">
        <f t="shared" si="49"/>
        <v>-283129952.21215355</v>
      </c>
      <c r="K88" s="214">
        <f t="shared" si="49"/>
        <v>70173317.42064655</v>
      </c>
      <c r="L88" s="214">
        <f t="shared" si="49"/>
        <v>164992853.57595223</v>
      </c>
      <c r="M88" s="214">
        <f t="shared" si="49"/>
        <v>158121774.74400598</v>
      </c>
      <c r="N88" s="214">
        <f t="shared" si="49"/>
        <v>278714135.3670894</v>
      </c>
      <c r="O88" s="214">
        <f t="shared" si="49"/>
        <v>298521580.5717794</v>
      </c>
      <c r="P88" s="214">
        <f t="shared" si="49"/>
        <v>418977426.1918508</v>
      </c>
      <c r="Q88" s="214">
        <f t="shared" si="49"/>
        <v>447632715.0647901</v>
      </c>
      <c r="R88" s="214">
        <f>R59-R82</f>
        <v>478267057.150527</v>
      </c>
    </row>
    <row r="89" spans="1:18" ht="12.75">
      <c r="A89" s="209" t="s">
        <v>10</v>
      </c>
      <c r="B89" s="216">
        <f>B88</f>
        <v>0</v>
      </c>
      <c r="C89" s="216">
        <f>C88</f>
        <v>-52228416.53039998</v>
      </c>
      <c r="D89" s="216">
        <f>C89+D88</f>
        <v>-106003303.66197634</v>
      </c>
      <c r="E89" s="216">
        <f>D89+E88</f>
        <v>-131682248.91336715</v>
      </c>
      <c r="F89" s="216">
        <f>E89+F88</f>
        <v>-518067903.6290568</v>
      </c>
      <c r="G89" s="216">
        <f aca="true" t="shared" si="50" ref="G89:R89">F89+G88</f>
        <v>-554462665.5563989</v>
      </c>
      <c r="H89" s="216">
        <f t="shared" si="50"/>
        <v>-565590808.4850743</v>
      </c>
      <c r="I89" s="216">
        <f t="shared" si="50"/>
        <v>-564225549.4502107</v>
      </c>
      <c r="J89" s="216">
        <f t="shared" si="50"/>
        <v>-847355501.6623642</v>
      </c>
      <c r="K89" s="216">
        <f t="shared" si="50"/>
        <v>-777182184.2417177</v>
      </c>
      <c r="L89" s="216">
        <f t="shared" si="50"/>
        <v>-612189330.6657655</v>
      </c>
      <c r="M89" s="216">
        <f t="shared" si="50"/>
        <v>-454067555.92175955</v>
      </c>
      <c r="N89" s="216">
        <f t="shared" si="50"/>
        <v>-175353420.55467016</v>
      </c>
      <c r="O89" s="216">
        <f t="shared" si="50"/>
        <v>123168160.01710922</v>
      </c>
      <c r="P89" s="216">
        <f t="shared" si="50"/>
        <v>542145586.20896</v>
      </c>
      <c r="Q89" s="216">
        <f t="shared" si="50"/>
        <v>989778301.2737502</v>
      </c>
      <c r="R89" s="216">
        <f t="shared" si="50"/>
        <v>1468045358.4242773</v>
      </c>
    </row>
    <row r="90" spans="1:18" ht="12.75">
      <c r="A90" s="206" t="s">
        <v>41</v>
      </c>
      <c r="B90" s="228" t="e">
        <f>MAX(0,IRR(A85:B85))</f>
        <v>#NUM!</v>
      </c>
      <c r="C90" s="228"/>
      <c r="D90" s="228" t="e">
        <f>MAX(0,IRR($C$85:D85))</f>
        <v>#NUM!</v>
      </c>
      <c r="E90" s="228" t="e">
        <f>MAX(0,IRR($B$85:E85))</f>
        <v>#NUM!</v>
      </c>
      <c r="F90" s="228" t="e">
        <f>MAX(0,IRR($B$85:F85))</f>
        <v>#NUM!</v>
      </c>
      <c r="G90" s="228" t="e">
        <f>MAX(0,IRR($B$85:G85))</f>
        <v>#NUM!</v>
      </c>
      <c r="H90" s="228" t="e">
        <f>MAX(0,IRR(B85:H85))</f>
        <v>#NUM!</v>
      </c>
      <c r="I90" s="228" t="e">
        <f>MAX(0,IRR(B85:I85))</f>
        <v>#NUM!</v>
      </c>
      <c r="J90" s="228" t="e">
        <f>MAX(0,IRR(B85:J85))</f>
        <v>#NUM!</v>
      </c>
      <c r="K90" s="228" t="e">
        <f>MAX(0,IRR(B85:K85))</f>
        <v>#NUM!</v>
      </c>
      <c r="L90" s="228">
        <f>MAX(0,IRR(B85:L85))</f>
        <v>0</v>
      </c>
      <c r="M90" s="228">
        <f>MAX(0,IRR(B85:M85))</f>
        <v>0</v>
      </c>
      <c r="N90" s="228">
        <f>MAX(0,IRR(B85:N85))</f>
        <v>0.03296819896294578</v>
      </c>
      <c r="O90" s="228">
        <f>MAX(0,IRR(C85:O85))</f>
        <v>0.08535224662025698</v>
      </c>
      <c r="P90" s="228">
        <f>MAX(0,IRR(B85:P85))</f>
        <v>0.12749597755431052</v>
      </c>
      <c r="Q90" s="228">
        <f>MAX(0,IRR(B85:Q85))</f>
        <v>0.15525001470293387</v>
      </c>
      <c r="R90" s="228">
        <f>MAX(0,IRR(C85:R85))</f>
        <v>0.17478300717776207</v>
      </c>
    </row>
    <row r="91" spans="1:14" ht="14.25" hidden="1" thickBot="1">
      <c r="A91" s="195" t="s">
        <v>56</v>
      </c>
      <c r="B91" s="196"/>
      <c r="C91" s="196"/>
      <c r="D91" s="197"/>
      <c r="E91" s="196"/>
      <c r="F91" s="197"/>
      <c r="G91" s="197"/>
      <c r="H91" s="197"/>
      <c r="I91" s="197"/>
      <c r="J91" s="197"/>
      <c r="K91" s="197"/>
      <c r="L91" s="197"/>
      <c r="M91" s="197"/>
      <c r="N91" s="229" t="e">
        <f>+#REF!/(#REF!-#REF!)</f>
        <v>#REF!</v>
      </c>
    </row>
    <row r="92" spans="1:14" ht="12.75">
      <c r="A92" s="230"/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</row>
    <row r="93" spans="1:8" ht="12.75">
      <c r="A93" s="230"/>
      <c r="F93" s="231"/>
      <c r="G93" s="231"/>
      <c r="H93" s="231"/>
    </row>
    <row r="94" spans="6:12" ht="12.75">
      <c r="F94" s="231"/>
      <c r="G94" s="231"/>
      <c r="L94" s="231"/>
    </row>
    <row r="95" spans="5:7" ht="12.75">
      <c r="E95" s="232"/>
      <c r="F95" s="231"/>
      <c r="G95" s="231"/>
    </row>
    <row r="96" spans="1:4" ht="12.75">
      <c r="A96" s="233" t="s">
        <v>114</v>
      </c>
      <c r="B96" s="234" t="s">
        <v>117</v>
      </c>
      <c r="C96" s="234" t="s">
        <v>118</v>
      </c>
      <c r="D96" s="235"/>
    </row>
    <row r="97" spans="1:3" ht="12.75">
      <c r="A97" s="236"/>
      <c r="B97" s="236"/>
      <c r="C97" s="236"/>
    </row>
    <row r="98" spans="1:3" ht="12.75">
      <c r="A98" s="236" t="s">
        <v>129</v>
      </c>
      <c r="B98" s="237">
        <v>2000000</v>
      </c>
      <c r="C98" s="237">
        <f aca="true" t="shared" si="51" ref="C98:C103">B98*12</f>
        <v>24000000</v>
      </c>
    </row>
    <row r="99" spans="1:3" ht="12.75">
      <c r="A99" s="236" t="s">
        <v>130</v>
      </c>
      <c r="B99" s="237">
        <v>1000000</v>
      </c>
      <c r="C99" s="237">
        <f t="shared" si="51"/>
        <v>12000000</v>
      </c>
    </row>
    <row r="100" spans="1:3" ht="12.75">
      <c r="A100" s="236" t="s">
        <v>136</v>
      </c>
      <c r="B100" s="237">
        <f>2*700000</f>
        <v>1400000</v>
      </c>
      <c r="C100" s="237">
        <f t="shared" si="51"/>
        <v>16800000</v>
      </c>
    </row>
    <row r="101" spans="1:3" ht="12.75">
      <c r="A101" s="236" t="s">
        <v>134</v>
      </c>
      <c r="B101" s="237">
        <f>2*600000</f>
        <v>1200000</v>
      </c>
      <c r="C101" s="237">
        <f t="shared" si="51"/>
        <v>14400000</v>
      </c>
    </row>
    <row r="102" spans="1:5" ht="12.75">
      <c r="A102" s="236" t="s">
        <v>135</v>
      </c>
      <c r="B102" s="237">
        <f>6*500000</f>
        <v>3000000</v>
      </c>
      <c r="C102" s="237">
        <f t="shared" si="51"/>
        <v>36000000</v>
      </c>
      <c r="E102" s="238"/>
    </row>
    <row r="103" spans="1:3" ht="12.75">
      <c r="A103" s="236" t="s">
        <v>172</v>
      </c>
      <c r="B103" s="237">
        <f>4*500000</f>
        <v>2000000</v>
      </c>
      <c r="C103" s="237">
        <f t="shared" si="51"/>
        <v>24000000</v>
      </c>
    </row>
    <row r="104" spans="2:3" ht="12.75">
      <c r="B104" s="239" t="s">
        <v>119</v>
      </c>
      <c r="C104" s="240">
        <f>SUM(C98:C103)</f>
        <v>127200000</v>
      </c>
    </row>
    <row r="109" spans="2:3" ht="12.75">
      <c r="B109" s="231"/>
      <c r="C109" s="231"/>
    </row>
  </sheetData>
  <sheetProtection/>
  <mergeCells count="1">
    <mergeCell ref="A1:G1"/>
  </mergeCells>
  <printOptions horizontalCentered="1"/>
  <pageMargins left="0.1968503937007874" right="0.15748031496062992" top="0.5511811023622047" bottom="0.15748031496062992" header="0.5511811023622047" footer="0.15748031496062992"/>
  <pageSetup horizontalDpi="600" verticalDpi="600" orientation="landscape" paperSize="9" scale="70" r:id="rId3"/>
  <headerFooter>
    <oddFooter>&amp;R&amp;"Arial,Italique"ENTREPRISE  SANDANDRANO - Septembre 2017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AH70"/>
  <sheetViews>
    <sheetView zoomScale="85" zoomScaleNormal="85" zoomScalePageLayoutView="0" workbookViewId="0" topLeftCell="A1">
      <pane xSplit="1" ySplit="3" topLeftCell="C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:Q65"/>
    </sheetView>
  </sheetViews>
  <sheetFormatPr defaultColWidth="11.421875" defaultRowHeight="12.75"/>
  <cols>
    <col min="1" max="1" width="62.421875" style="0" bestFit="1" customWidth="1"/>
    <col min="2" max="2" width="18.140625" style="0" hidden="1" customWidth="1"/>
    <col min="3" max="3" width="20.00390625" style="0" bestFit="1" customWidth="1"/>
    <col min="4" max="6" width="19.28125" style="0" hidden="1" customWidth="1"/>
    <col min="7" max="7" width="19.57421875" style="0" bestFit="1" customWidth="1"/>
    <col min="8" max="11" width="19.28125" style="0" hidden="1" customWidth="1"/>
    <col min="12" max="12" width="19.57421875" style="0" bestFit="1" customWidth="1"/>
    <col min="13" max="13" width="19.28125" style="0" hidden="1" customWidth="1"/>
    <col min="14" max="16" width="18.140625" style="0" hidden="1" customWidth="1"/>
    <col min="17" max="17" width="19.57421875" style="0" bestFit="1" customWidth="1"/>
    <col min="18" max="18" width="18.140625" style="0" hidden="1" customWidth="1"/>
    <col min="19" max="31" width="16.57421875" style="0" hidden="1" customWidth="1"/>
    <col min="32" max="33" width="11.421875" style="0" customWidth="1"/>
    <col min="34" max="34" width="12.7109375" style="0" bestFit="1" customWidth="1"/>
  </cols>
  <sheetData>
    <row r="1" ht="13.5" thickBot="1"/>
    <row r="2" spans="3:17" ht="13.5" hidden="1" thickBot="1">
      <c r="C2">
        <f aca="true" t="shared" si="0" ref="C2:P2">+C4-$B$4</f>
        <v>1</v>
      </c>
      <c r="D2">
        <f t="shared" si="0"/>
        <v>2</v>
      </c>
      <c r="E2">
        <f t="shared" si="0"/>
        <v>3</v>
      </c>
      <c r="F2">
        <f t="shared" si="0"/>
        <v>4</v>
      </c>
      <c r="G2">
        <f t="shared" si="0"/>
        <v>5</v>
      </c>
      <c r="H2">
        <f t="shared" si="0"/>
        <v>6</v>
      </c>
      <c r="I2">
        <f t="shared" si="0"/>
        <v>7</v>
      </c>
      <c r="J2">
        <f t="shared" si="0"/>
        <v>8</v>
      </c>
      <c r="K2">
        <f t="shared" si="0"/>
        <v>9</v>
      </c>
      <c r="L2">
        <f t="shared" si="0"/>
        <v>10</v>
      </c>
      <c r="M2">
        <f t="shared" si="0"/>
        <v>11</v>
      </c>
      <c r="N2">
        <f t="shared" si="0"/>
        <v>12</v>
      </c>
      <c r="O2">
        <f t="shared" si="0"/>
        <v>13</v>
      </c>
      <c r="P2">
        <f t="shared" si="0"/>
        <v>14</v>
      </c>
      <c r="Q2">
        <f>+Q4-$B$4</f>
        <v>15</v>
      </c>
    </row>
    <row r="3" spans="2:30" ht="13.5" hidden="1" thickBot="1">
      <c r="B3">
        <v>1</v>
      </c>
      <c r="C3">
        <f>+B3+1</f>
        <v>2</v>
      </c>
      <c r="D3">
        <f aca="true" t="shared" si="1" ref="D3:AD3">+C3+1</f>
        <v>3</v>
      </c>
      <c r="E3">
        <f t="shared" si="1"/>
        <v>4</v>
      </c>
      <c r="F3">
        <f t="shared" si="1"/>
        <v>5</v>
      </c>
      <c r="G3">
        <f t="shared" si="1"/>
        <v>6</v>
      </c>
      <c r="H3">
        <f t="shared" si="1"/>
        <v>7</v>
      </c>
      <c r="I3">
        <f t="shared" si="1"/>
        <v>8</v>
      </c>
      <c r="J3">
        <f t="shared" si="1"/>
        <v>9</v>
      </c>
      <c r="K3">
        <f t="shared" si="1"/>
        <v>10</v>
      </c>
      <c r="L3">
        <f t="shared" si="1"/>
        <v>11</v>
      </c>
      <c r="M3">
        <f t="shared" si="1"/>
        <v>12</v>
      </c>
      <c r="N3">
        <f t="shared" si="1"/>
        <v>13</v>
      </c>
      <c r="O3">
        <f t="shared" si="1"/>
        <v>14</v>
      </c>
      <c r="P3">
        <f t="shared" si="1"/>
        <v>15</v>
      </c>
      <c r="Q3">
        <f t="shared" si="1"/>
        <v>16</v>
      </c>
      <c r="R3">
        <f t="shared" si="1"/>
        <v>17</v>
      </c>
      <c r="S3">
        <f t="shared" si="1"/>
        <v>18</v>
      </c>
      <c r="T3">
        <f t="shared" si="1"/>
        <v>19</v>
      </c>
      <c r="U3">
        <f t="shared" si="1"/>
        <v>20</v>
      </c>
      <c r="V3">
        <f t="shared" si="1"/>
        <v>21</v>
      </c>
      <c r="W3">
        <f t="shared" si="1"/>
        <v>22</v>
      </c>
      <c r="X3">
        <f t="shared" si="1"/>
        <v>23</v>
      </c>
      <c r="Y3">
        <f t="shared" si="1"/>
        <v>24</v>
      </c>
      <c r="Z3">
        <f t="shared" si="1"/>
        <v>25</v>
      </c>
      <c r="AA3">
        <f t="shared" si="1"/>
        <v>26</v>
      </c>
      <c r="AB3">
        <f t="shared" si="1"/>
        <v>27</v>
      </c>
      <c r="AC3">
        <f t="shared" si="1"/>
        <v>28</v>
      </c>
      <c r="AD3">
        <f t="shared" si="1"/>
        <v>29</v>
      </c>
    </row>
    <row r="4" spans="1:30" ht="13.5" thickBot="1">
      <c r="A4" s="15" t="s">
        <v>0</v>
      </c>
      <c r="B4" s="16">
        <v>2010</v>
      </c>
      <c r="C4" s="16">
        <f>+B4+1</f>
        <v>2011</v>
      </c>
      <c r="D4" s="16">
        <f aca="true" t="shared" si="2" ref="D4:AD4">+C4+1</f>
        <v>2012</v>
      </c>
      <c r="E4" s="16">
        <f t="shared" si="2"/>
        <v>2013</v>
      </c>
      <c r="F4" s="16">
        <f t="shared" si="2"/>
        <v>2014</v>
      </c>
      <c r="G4" s="16">
        <f t="shared" si="2"/>
        <v>2015</v>
      </c>
      <c r="H4" s="16">
        <f t="shared" si="2"/>
        <v>2016</v>
      </c>
      <c r="I4" s="16">
        <f t="shared" si="2"/>
        <v>2017</v>
      </c>
      <c r="J4" s="16">
        <f t="shared" si="2"/>
        <v>2018</v>
      </c>
      <c r="K4" s="16">
        <f t="shared" si="2"/>
        <v>2019</v>
      </c>
      <c r="L4" s="16">
        <f t="shared" si="2"/>
        <v>2020</v>
      </c>
      <c r="M4" s="16">
        <f t="shared" si="2"/>
        <v>2021</v>
      </c>
      <c r="N4" s="16">
        <f t="shared" si="2"/>
        <v>2022</v>
      </c>
      <c r="O4" s="16">
        <f t="shared" si="2"/>
        <v>2023</v>
      </c>
      <c r="P4" s="16">
        <f t="shared" si="2"/>
        <v>2024</v>
      </c>
      <c r="Q4" s="124">
        <f t="shared" si="2"/>
        <v>2025</v>
      </c>
      <c r="R4" s="115">
        <f t="shared" si="2"/>
        <v>2026</v>
      </c>
      <c r="S4" s="16">
        <f t="shared" si="2"/>
        <v>2027</v>
      </c>
      <c r="T4" s="16">
        <f t="shared" si="2"/>
        <v>2028</v>
      </c>
      <c r="U4" s="16">
        <f t="shared" si="2"/>
        <v>2029</v>
      </c>
      <c r="V4" s="16">
        <f t="shared" si="2"/>
        <v>2030</v>
      </c>
      <c r="W4" s="16">
        <f t="shared" si="2"/>
        <v>2031</v>
      </c>
      <c r="X4" s="16">
        <f t="shared" si="2"/>
        <v>2032</v>
      </c>
      <c r="Y4" s="16">
        <f t="shared" si="2"/>
        <v>2033</v>
      </c>
      <c r="Z4" s="16">
        <f t="shared" si="2"/>
        <v>2034</v>
      </c>
      <c r="AA4" s="16">
        <f t="shared" si="2"/>
        <v>2035</v>
      </c>
      <c r="AB4" s="16">
        <f t="shared" si="2"/>
        <v>2036</v>
      </c>
      <c r="AC4" s="16">
        <f t="shared" si="2"/>
        <v>2037</v>
      </c>
      <c r="AD4" s="16">
        <f t="shared" si="2"/>
        <v>2038</v>
      </c>
    </row>
    <row r="5" spans="1:17" ht="12.75">
      <c r="A5" s="137" t="s">
        <v>58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25"/>
    </row>
    <row r="6" spans="1:34" ht="12.75">
      <c r="A6" s="138" t="s">
        <v>59</v>
      </c>
      <c r="B6" s="23">
        <v>8887</v>
      </c>
      <c r="C6" s="96">
        <f>$B$6*1.0362^(C4-$B$4)</f>
        <v>9208.7094</v>
      </c>
      <c r="D6" s="96">
        <f>$B$6*1.0362^(D4-$B$4)</f>
        <v>9542.06468028</v>
      </c>
      <c r="E6" s="96">
        <f>$B$6*1.0362^(E4-$B$4)</f>
        <v>9887.487421706135</v>
      </c>
      <c r="F6" s="96">
        <f aca="true" t="shared" si="3" ref="F6:Q6">$B$6*1.0362^(F4-$B$4)</f>
        <v>10245.414466371898</v>
      </c>
      <c r="G6" s="96">
        <f t="shared" si="3"/>
        <v>10616.29847005456</v>
      </c>
      <c r="H6" s="96">
        <f t="shared" si="3"/>
        <v>11000.608474670535</v>
      </c>
      <c r="I6" s="96">
        <f t="shared" si="3"/>
        <v>11398.830501453609</v>
      </c>
      <c r="J6" s="96">
        <f t="shared" si="3"/>
        <v>11811.46816560623</v>
      </c>
      <c r="K6" s="96">
        <f t="shared" si="3"/>
        <v>12239.043313201175</v>
      </c>
      <c r="L6" s="96">
        <f t="shared" si="3"/>
        <v>12682.096681139057</v>
      </c>
      <c r="M6" s="96">
        <f t="shared" si="3"/>
        <v>13141.18858099629</v>
      </c>
      <c r="N6" s="96">
        <f t="shared" si="3"/>
        <v>13616.899607628355</v>
      </c>
      <c r="O6" s="96">
        <f t="shared" si="3"/>
        <v>14109.831373424502</v>
      </c>
      <c r="P6" s="96">
        <f t="shared" si="3"/>
        <v>14620.607269142469</v>
      </c>
      <c r="Q6" s="126">
        <f t="shared" si="3"/>
        <v>15149.873252285426</v>
      </c>
      <c r="R6" s="116">
        <f aca="true" t="shared" si="4" ref="R6:AD6">Q6*1.0362^(R4-$B$4)</f>
        <v>26761.25070736995</v>
      </c>
      <c r="S6" s="95">
        <f t="shared" si="4"/>
        <v>48983.22800409324</v>
      </c>
      <c r="T6" s="95">
        <f t="shared" si="4"/>
        <v>92903.48058607985</v>
      </c>
      <c r="U6" s="95">
        <f t="shared" si="4"/>
        <v>182582.92321980197</v>
      </c>
      <c r="V6" s="95">
        <f t="shared" si="4"/>
        <v>371819.2881148928</v>
      </c>
      <c r="W6" s="95">
        <f t="shared" si="4"/>
        <v>784598.1179024384</v>
      </c>
      <c r="X6" s="95">
        <f t="shared" si="4"/>
        <v>1715561.1268300961</v>
      </c>
      <c r="Y6" s="95">
        <f t="shared" si="4"/>
        <v>3886947.9031070075</v>
      </c>
      <c r="Z6" s="95">
        <f t="shared" si="4"/>
        <v>9125461.362748371</v>
      </c>
      <c r="AA6" s="95">
        <f t="shared" si="4"/>
        <v>22199568.315810002</v>
      </c>
      <c r="AB6" s="95">
        <f t="shared" si="4"/>
        <v>55960014.21498512</v>
      </c>
      <c r="AC6" s="95">
        <f t="shared" si="4"/>
        <v>146168803.1177833</v>
      </c>
      <c r="AD6" s="95">
        <f t="shared" si="4"/>
        <v>395617189.5848764</v>
      </c>
      <c r="AH6" s="45"/>
    </row>
    <row r="7" spans="1:30" ht="12.75">
      <c r="A7" s="99" t="s">
        <v>60</v>
      </c>
      <c r="B7" s="23">
        <f>+B6/6</f>
        <v>1481.1666666666667</v>
      </c>
      <c r="C7" s="23">
        <f>+C6/7</f>
        <v>1315.5299142857143</v>
      </c>
      <c r="D7" s="23">
        <f aca="true" t="shared" si="5" ref="D7:AD7">+D6/7</f>
        <v>1363.1520971828572</v>
      </c>
      <c r="E7" s="23">
        <f t="shared" si="5"/>
        <v>1412.4982031008765</v>
      </c>
      <c r="F7" s="23">
        <f t="shared" si="5"/>
        <v>1463.6306380531282</v>
      </c>
      <c r="G7" s="23">
        <f t="shared" si="5"/>
        <v>1516.6140671506514</v>
      </c>
      <c r="H7" s="23">
        <f t="shared" si="5"/>
        <v>1571.515496381505</v>
      </c>
      <c r="I7" s="23">
        <f t="shared" si="5"/>
        <v>1628.4043573505155</v>
      </c>
      <c r="J7" s="23">
        <f t="shared" si="5"/>
        <v>1687.3525950866042</v>
      </c>
      <c r="K7" s="23">
        <f t="shared" si="5"/>
        <v>1748.4347590287393</v>
      </c>
      <c r="L7" s="23">
        <f t="shared" si="5"/>
        <v>1811.7280973055797</v>
      </c>
      <c r="M7" s="23">
        <f t="shared" si="5"/>
        <v>1877.3126544280415</v>
      </c>
      <c r="N7" s="23">
        <f t="shared" si="5"/>
        <v>1945.2713725183364</v>
      </c>
      <c r="O7" s="23">
        <f t="shared" si="5"/>
        <v>2015.6901962035004</v>
      </c>
      <c r="P7" s="23">
        <f t="shared" si="5"/>
        <v>2088.658181306067</v>
      </c>
      <c r="Q7" s="24">
        <f>+Q6/7</f>
        <v>2164.267607469347</v>
      </c>
      <c r="R7" s="117">
        <f t="shared" si="5"/>
        <v>3823.035815338564</v>
      </c>
      <c r="S7" s="23">
        <f t="shared" si="5"/>
        <v>6997.604000584748</v>
      </c>
      <c r="T7" s="23">
        <f t="shared" si="5"/>
        <v>13271.925798011407</v>
      </c>
      <c r="U7" s="23">
        <f t="shared" si="5"/>
        <v>26083.274745685998</v>
      </c>
      <c r="V7" s="23">
        <f t="shared" si="5"/>
        <v>53117.0411592704</v>
      </c>
      <c r="W7" s="23">
        <f t="shared" si="5"/>
        <v>112085.44541463406</v>
      </c>
      <c r="X7" s="23">
        <f t="shared" si="5"/>
        <v>245080.160975728</v>
      </c>
      <c r="Y7" s="23">
        <f t="shared" si="5"/>
        <v>555278.2718724296</v>
      </c>
      <c r="Z7" s="23">
        <f t="shared" si="5"/>
        <v>1303637.3375354817</v>
      </c>
      <c r="AA7" s="23">
        <f t="shared" si="5"/>
        <v>3171366.9022585717</v>
      </c>
      <c r="AB7" s="23">
        <f t="shared" si="5"/>
        <v>7994287.744997874</v>
      </c>
      <c r="AC7" s="23">
        <f t="shared" si="5"/>
        <v>20881257.588254757</v>
      </c>
      <c r="AD7" s="23">
        <f t="shared" si="5"/>
        <v>56516741.36926806</v>
      </c>
    </row>
    <row r="8" spans="1:30" ht="12.75">
      <c r="A8" s="99" t="s">
        <v>61</v>
      </c>
      <c r="B8" s="23">
        <f>+B7*0.9</f>
        <v>1333.0500000000002</v>
      </c>
      <c r="C8" s="23">
        <f aca="true" t="shared" si="6" ref="C8:P8">+C7*0.9</f>
        <v>1183.9769228571429</v>
      </c>
      <c r="D8" s="23">
        <f t="shared" si="6"/>
        <v>1226.8368874645716</v>
      </c>
      <c r="E8" s="23">
        <f t="shared" si="6"/>
        <v>1271.2483827907888</v>
      </c>
      <c r="F8" s="23">
        <f t="shared" si="6"/>
        <v>1317.2675742478154</v>
      </c>
      <c r="G8" s="23">
        <f t="shared" si="6"/>
        <v>1364.9526604355863</v>
      </c>
      <c r="H8" s="23">
        <f t="shared" si="6"/>
        <v>1414.3639467433545</v>
      </c>
      <c r="I8" s="23">
        <f t="shared" si="6"/>
        <v>1465.563921615464</v>
      </c>
      <c r="J8" s="23">
        <f t="shared" si="6"/>
        <v>1518.6173355779438</v>
      </c>
      <c r="K8" s="23">
        <f t="shared" si="6"/>
        <v>1573.5912831258654</v>
      </c>
      <c r="L8" s="23">
        <f t="shared" si="6"/>
        <v>1630.5552875750218</v>
      </c>
      <c r="M8" s="23">
        <f t="shared" si="6"/>
        <v>1689.5813889852373</v>
      </c>
      <c r="N8" s="23">
        <f t="shared" si="6"/>
        <v>1750.7442352665028</v>
      </c>
      <c r="O8" s="23">
        <f t="shared" si="6"/>
        <v>1814.1211765831504</v>
      </c>
      <c r="P8" s="23">
        <f t="shared" si="6"/>
        <v>1879.7923631754604</v>
      </c>
      <c r="Q8" s="24">
        <f>+Q7*0.9</f>
        <v>1947.8408467224122</v>
      </c>
      <c r="R8" s="64">
        <f aca="true" t="shared" si="7" ref="R8:AD8">+R7*0.9</f>
        <v>3440.732233804708</v>
      </c>
      <c r="S8" s="21">
        <f t="shared" si="7"/>
        <v>6297.843600526274</v>
      </c>
      <c r="T8" s="21">
        <f t="shared" si="7"/>
        <v>11944.733218210267</v>
      </c>
      <c r="U8" s="21">
        <f t="shared" si="7"/>
        <v>23474.9472711174</v>
      </c>
      <c r="V8" s="21">
        <f t="shared" si="7"/>
        <v>47805.33704334336</v>
      </c>
      <c r="W8" s="21">
        <f t="shared" si="7"/>
        <v>100876.90087317066</v>
      </c>
      <c r="X8" s="21">
        <f t="shared" si="7"/>
        <v>220572.1448781552</v>
      </c>
      <c r="Y8" s="21">
        <f t="shared" si="7"/>
        <v>499750.44468518667</v>
      </c>
      <c r="Z8" s="21">
        <f t="shared" si="7"/>
        <v>1173273.6037819334</v>
      </c>
      <c r="AA8" s="21">
        <f t="shared" si="7"/>
        <v>2854230.2120327144</v>
      </c>
      <c r="AB8" s="21">
        <f t="shared" si="7"/>
        <v>7194858.970498087</v>
      </c>
      <c r="AC8" s="21">
        <f t="shared" si="7"/>
        <v>18793131.829429284</v>
      </c>
      <c r="AD8" s="21">
        <f t="shared" si="7"/>
        <v>50865067.23234125</v>
      </c>
    </row>
    <row r="9" spans="1:30" ht="12.75" hidden="1">
      <c r="A9" s="18" t="s">
        <v>47</v>
      </c>
      <c r="B9" s="19">
        <v>40</v>
      </c>
      <c r="C9" s="173">
        <f>+B9+7.6</f>
        <v>47.6</v>
      </c>
      <c r="D9" s="173">
        <f>+C9+7.6</f>
        <v>55.2</v>
      </c>
      <c r="E9" s="173">
        <f>+D9+7.6</f>
        <v>62.800000000000004</v>
      </c>
      <c r="F9" s="173">
        <f>+E9+7.6</f>
        <v>70.4</v>
      </c>
      <c r="G9" s="173">
        <v>78</v>
      </c>
      <c r="H9" s="173">
        <f>+G9+4.4</f>
        <v>82.4</v>
      </c>
      <c r="I9" s="173">
        <f>+H9+4.4</f>
        <v>86.80000000000001</v>
      </c>
      <c r="J9" s="173">
        <f>+I9+4.4</f>
        <v>91.20000000000002</v>
      </c>
      <c r="K9" s="173">
        <f>+J9+4.4</f>
        <v>95.60000000000002</v>
      </c>
      <c r="L9" s="173">
        <v>100</v>
      </c>
      <c r="M9" s="173">
        <v>100</v>
      </c>
      <c r="N9" s="173">
        <v>100</v>
      </c>
      <c r="O9" s="173">
        <v>100</v>
      </c>
      <c r="P9" s="173">
        <v>100</v>
      </c>
      <c r="Q9" s="174">
        <v>101</v>
      </c>
      <c r="R9" s="65">
        <v>100</v>
      </c>
      <c r="S9" s="22">
        <v>100</v>
      </c>
      <c r="T9" s="22">
        <v>100</v>
      </c>
      <c r="U9" s="22">
        <v>100</v>
      </c>
      <c r="V9" s="22">
        <v>100</v>
      </c>
      <c r="W9" s="22">
        <v>100</v>
      </c>
      <c r="X9" s="22">
        <v>100</v>
      </c>
      <c r="Y9" s="22">
        <v>100</v>
      </c>
      <c r="Z9" s="22">
        <v>100</v>
      </c>
      <c r="AA9" s="22">
        <v>100</v>
      </c>
      <c r="AB9" s="22">
        <v>100</v>
      </c>
      <c r="AC9" s="22">
        <v>100</v>
      </c>
      <c r="AD9" s="22">
        <v>100</v>
      </c>
    </row>
    <row r="10" spans="1:30" ht="12.75">
      <c r="A10" s="99" t="s">
        <v>62</v>
      </c>
      <c r="B10" s="23">
        <v>56</v>
      </c>
      <c r="C10" s="173">
        <v>189</v>
      </c>
      <c r="D10" s="173">
        <v>332</v>
      </c>
      <c r="E10" s="173">
        <f>+$D10+($G10-$D10)*(E$4-$D$4)/3</f>
        <v>397.3333333333333</v>
      </c>
      <c r="F10" s="173">
        <f>+$D$10+($G$10-$D$10)*(F4-$D$4)/3</f>
        <v>462.66666666666663</v>
      </c>
      <c r="G10" s="173">
        <v>528</v>
      </c>
      <c r="H10" s="173">
        <f>+$G10+($L10-$G10)*(H$4-$G$4)/5</f>
        <v>649.6</v>
      </c>
      <c r="I10" s="173">
        <f>+$G10+($L10-$G10)*(I$4-$G$4)/5</f>
        <v>771.2</v>
      </c>
      <c r="J10" s="173">
        <f>+$G$10+($L$10-$G$10)*(J4-$G$4)/5</f>
        <v>892.8</v>
      </c>
      <c r="K10" s="173">
        <f>+$G$10+($L$10-$G$10)*(K4-$G$4)/5</f>
        <v>1014.4</v>
      </c>
      <c r="L10" s="173">
        <v>1136</v>
      </c>
      <c r="M10" s="173">
        <f aca="true" t="shared" si="8" ref="M10:AD10">+L10+120</f>
        <v>1256</v>
      </c>
      <c r="N10" s="173">
        <f t="shared" si="8"/>
        <v>1376</v>
      </c>
      <c r="O10" s="173">
        <f t="shared" si="8"/>
        <v>1496</v>
      </c>
      <c r="P10" s="173">
        <f t="shared" si="8"/>
        <v>1616</v>
      </c>
      <c r="Q10" s="174">
        <f t="shared" si="8"/>
        <v>1736</v>
      </c>
      <c r="R10" s="118">
        <f t="shared" si="8"/>
        <v>1856</v>
      </c>
      <c r="S10" s="20">
        <f t="shared" si="8"/>
        <v>1976</v>
      </c>
      <c r="T10" s="20">
        <f t="shared" si="8"/>
        <v>2096</v>
      </c>
      <c r="U10" s="20">
        <f t="shared" si="8"/>
        <v>2216</v>
      </c>
      <c r="V10" s="20">
        <f t="shared" si="8"/>
        <v>2336</v>
      </c>
      <c r="W10" s="20">
        <f t="shared" si="8"/>
        <v>2456</v>
      </c>
      <c r="X10" s="20">
        <f t="shared" si="8"/>
        <v>2576</v>
      </c>
      <c r="Y10" s="20">
        <f t="shared" si="8"/>
        <v>2696</v>
      </c>
      <c r="Z10" s="20">
        <f t="shared" si="8"/>
        <v>2816</v>
      </c>
      <c r="AA10" s="20">
        <f t="shared" si="8"/>
        <v>2936</v>
      </c>
      <c r="AB10" s="20">
        <f t="shared" si="8"/>
        <v>3056</v>
      </c>
      <c r="AC10" s="20">
        <f t="shared" si="8"/>
        <v>3176</v>
      </c>
      <c r="AD10" s="20">
        <f t="shared" si="8"/>
        <v>3296</v>
      </c>
    </row>
    <row r="11" spans="1:30" ht="12.75" hidden="1">
      <c r="A11" s="18" t="s">
        <v>45</v>
      </c>
      <c r="B11" s="20"/>
      <c r="C11" s="173"/>
      <c r="D11" s="173"/>
      <c r="E11" s="173">
        <f>+$D11+($G11-$D11)*(E$4-$D$4)/3</f>
        <v>0</v>
      </c>
      <c r="F11" s="173"/>
      <c r="G11" s="173"/>
      <c r="H11" s="173">
        <f>+$G11+($L11-$G11)*(H$4-$G$4)/5</f>
        <v>0</v>
      </c>
      <c r="I11" s="173"/>
      <c r="J11" s="173"/>
      <c r="K11" s="173"/>
      <c r="L11" s="173"/>
      <c r="M11" s="173"/>
      <c r="N11" s="173"/>
      <c r="O11" s="173"/>
      <c r="P11" s="173"/>
      <c r="Q11" s="174"/>
      <c r="R11" s="64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.75">
      <c r="A12" s="99" t="s">
        <v>63</v>
      </c>
      <c r="B12" s="97">
        <f>65*10</f>
        <v>650</v>
      </c>
      <c r="C12" s="175">
        <f>63*10</f>
        <v>630</v>
      </c>
      <c r="D12" s="175">
        <f>116*10</f>
        <v>1160</v>
      </c>
      <c r="E12" s="175">
        <f>+$D12+($G12-$D12)*(E$4-$D$4)/3</f>
        <v>1306.6666666666667</v>
      </c>
      <c r="F12" s="175">
        <f>+$D12+($G12-$D12)*(F$4-$D$4)/3</f>
        <v>1453.3333333333333</v>
      </c>
      <c r="G12" s="175">
        <f>160*10</f>
        <v>1600</v>
      </c>
      <c r="H12" s="175">
        <f>+$G12+($L12-$G12)*(H$4-$G$4)/5</f>
        <v>1946</v>
      </c>
      <c r="I12" s="175">
        <f>+$G12+($L12-$G12)*(I$4-$G$4)/5</f>
        <v>2292</v>
      </c>
      <c r="J12" s="175">
        <f>+$G12+($L12-$G12)*(J$4-$G$4)/5</f>
        <v>2638</v>
      </c>
      <c r="K12" s="175">
        <f>+$G12+($L12-$G12)*(K$4-$G$4)/5</f>
        <v>2984</v>
      </c>
      <c r="L12" s="175">
        <f>333*10</f>
        <v>3330</v>
      </c>
      <c r="M12" s="175">
        <f>+L12+350</f>
        <v>3680</v>
      </c>
      <c r="N12" s="175">
        <f>+M12+350</f>
        <v>4030</v>
      </c>
      <c r="O12" s="175">
        <f>+N12+350</f>
        <v>4380</v>
      </c>
      <c r="P12" s="175">
        <f>+O12+350</f>
        <v>4730</v>
      </c>
      <c r="Q12" s="176">
        <f>+P12+350</f>
        <v>5080</v>
      </c>
      <c r="R12" s="64">
        <f aca="true" t="shared" si="9" ref="R12:AD12">+R7-R10</f>
        <v>1967.0358153385641</v>
      </c>
      <c r="S12" s="21">
        <f t="shared" si="9"/>
        <v>5021.604000584748</v>
      </c>
      <c r="T12" s="21">
        <f t="shared" si="9"/>
        <v>11175.925798011407</v>
      </c>
      <c r="U12" s="21">
        <f t="shared" si="9"/>
        <v>23867.274745685998</v>
      </c>
      <c r="V12" s="21">
        <f t="shared" si="9"/>
        <v>50781.0411592704</v>
      </c>
      <c r="W12" s="21">
        <f t="shared" si="9"/>
        <v>109629.44541463406</v>
      </c>
      <c r="X12" s="21">
        <f t="shared" si="9"/>
        <v>242504.160975728</v>
      </c>
      <c r="Y12" s="21">
        <f t="shared" si="9"/>
        <v>552582.2718724296</v>
      </c>
      <c r="Z12" s="21">
        <f t="shared" si="9"/>
        <v>1300821.3375354817</v>
      </c>
      <c r="AA12" s="21">
        <f t="shared" si="9"/>
        <v>3168430.9022585717</v>
      </c>
      <c r="AB12" s="21">
        <f t="shared" si="9"/>
        <v>7991231.744997874</v>
      </c>
      <c r="AC12" s="21">
        <f t="shared" si="9"/>
        <v>20878081.588254757</v>
      </c>
      <c r="AD12" s="21">
        <f t="shared" si="9"/>
        <v>56513445.36926806</v>
      </c>
    </row>
    <row r="13" spans="1:30" ht="12.75">
      <c r="A13" s="99" t="s">
        <v>64</v>
      </c>
      <c r="B13" s="98">
        <v>570</v>
      </c>
      <c r="C13" s="175">
        <v>546</v>
      </c>
      <c r="D13" s="175">
        <v>461</v>
      </c>
      <c r="E13" s="175">
        <f>+$D$13-($D$13-$G$13)/3</f>
        <v>430.6666666666667</v>
      </c>
      <c r="F13" s="175">
        <f>+$D$13-($D$13-$G$13)*2/3</f>
        <v>400.3333333333333</v>
      </c>
      <c r="G13" s="175">
        <v>370</v>
      </c>
      <c r="H13" s="175">
        <f>+$G$13-($G$13-$L$13)*(H3-$G$3)/5</f>
        <v>319.2</v>
      </c>
      <c r="I13" s="175">
        <f>+$G$13-($G$13-$L$13)*(I3-$G$3)/5</f>
        <v>268.4</v>
      </c>
      <c r="J13" s="175">
        <f>+$G$13-($G$13-$L$13)*(J3-$G$3)/5</f>
        <v>217.6</v>
      </c>
      <c r="K13" s="175">
        <v>116</v>
      </c>
      <c r="L13" s="175">
        <v>116</v>
      </c>
      <c r="M13" s="175">
        <v>116</v>
      </c>
      <c r="N13" s="175">
        <v>116</v>
      </c>
      <c r="O13" s="175">
        <v>116</v>
      </c>
      <c r="P13" s="175">
        <v>116</v>
      </c>
      <c r="Q13" s="176">
        <v>116</v>
      </c>
      <c r="R13" s="64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.75">
      <c r="A14" s="99" t="s">
        <v>65</v>
      </c>
      <c r="B14" s="19">
        <v>35</v>
      </c>
      <c r="C14" s="175">
        <f>+$B$14</f>
        <v>35</v>
      </c>
      <c r="D14" s="175">
        <f aca="true" t="shared" si="10" ref="D14:Q14">+$B$14</f>
        <v>35</v>
      </c>
      <c r="E14" s="175">
        <f t="shared" si="10"/>
        <v>35</v>
      </c>
      <c r="F14" s="175">
        <f t="shared" si="10"/>
        <v>35</v>
      </c>
      <c r="G14" s="175">
        <f t="shared" si="10"/>
        <v>35</v>
      </c>
      <c r="H14" s="175">
        <f t="shared" si="10"/>
        <v>35</v>
      </c>
      <c r="I14" s="175">
        <f t="shared" si="10"/>
        <v>35</v>
      </c>
      <c r="J14" s="175">
        <f t="shared" si="10"/>
        <v>35</v>
      </c>
      <c r="K14" s="175">
        <f t="shared" si="10"/>
        <v>35</v>
      </c>
      <c r="L14" s="175">
        <f t="shared" si="10"/>
        <v>35</v>
      </c>
      <c r="M14" s="175">
        <f t="shared" si="10"/>
        <v>35</v>
      </c>
      <c r="N14" s="175">
        <f t="shared" si="10"/>
        <v>35</v>
      </c>
      <c r="O14" s="175">
        <f t="shared" si="10"/>
        <v>35</v>
      </c>
      <c r="P14" s="175">
        <f t="shared" si="10"/>
        <v>35</v>
      </c>
      <c r="Q14" s="176">
        <f t="shared" si="10"/>
        <v>35</v>
      </c>
      <c r="R14" s="65">
        <v>40</v>
      </c>
      <c r="S14" s="22">
        <v>40</v>
      </c>
      <c r="T14" s="22">
        <v>40</v>
      </c>
      <c r="U14" s="22">
        <v>40</v>
      </c>
      <c r="V14" s="22">
        <v>40</v>
      </c>
      <c r="W14" s="22">
        <v>40</v>
      </c>
      <c r="X14" s="22">
        <v>40</v>
      </c>
      <c r="Y14" s="22">
        <v>40</v>
      </c>
      <c r="Z14" s="22">
        <v>40</v>
      </c>
      <c r="AA14" s="22">
        <v>40</v>
      </c>
      <c r="AB14" s="22">
        <v>40</v>
      </c>
      <c r="AC14" s="22">
        <v>40</v>
      </c>
      <c r="AD14" s="22">
        <v>40</v>
      </c>
    </row>
    <row r="15" spans="1:30" ht="12.75">
      <c r="A15" s="99" t="s">
        <v>66</v>
      </c>
      <c r="B15" s="19">
        <v>20</v>
      </c>
      <c r="C15" s="173">
        <f>+$B$15</f>
        <v>20</v>
      </c>
      <c r="D15" s="173">
        <f aca="true" t="shared" si="11" ref="D15:Q15">+$B$15</f>
        <v>20</v>
      </c>
      <c r="E15" s="173">
        <f t="shared" si="11"/>
        <v>20</v>
      </c>
      <c r="F15" s="173">
        <f t="shared" si="11"/>
        <v>20</v>
      </c>
      <c r="G15" s="173">
        <f t="shared" si="11"/>
        <v>20</v>
      </c>
      <c r="H15" s="173">
        <f t="shared" si="11"/>
        <v>20</v>
      </c>
      <c r="I15" s="173">
        <f t="shared" si="11"/>
        <v>20</v>
      </c>
      <c r="J15" s="173">
        <f t="shared" si="11"/>
        <v>20</v>
      </c>
      <c r="K15" s="173">
        <f t="shared" si="11"/>
        <v>20</v>
      </c>
      <c r="L15" s="173">
        <f t="shared" si="11"/>
        <v>20</v>
      </c>
      <c r="M15" s="173">
        <f t="shared" si="11"/>
        <v>20</v>
      </c>
      <c r="N15" s="173">
        <f t="shared" si="11"/>
        <v>20</v>
      </c>
      <c r="O15" s="173">
        <f t="shared" si="11"/>
        <v>20</v>
      </c>
      <c r="P15" s="173">
        <f t="shared" si="11"/>
        <v>20</v>
      </c>
      <c r="Q15" s="174">
        <f t="shared" si="11"/>
        <v>20</v>
      </c>
      <c r="R15" s="65">
        <v>30</v>
      </c>
      <c r="S15" s="22">
        <v>30</v>
      </c>
      <c r="T15" s="22">
        <v>30</v>
      </c>
      <c r="U15" s="22">
        <v>30</v>
      </c>
      <c r="V15" s="22">
        <v>30</v>
      </c>
      <c r="W15" s="22">
        <v>30</v>
      </c>
      <c r="X15" s="22">
        <v>30</v>
      </c>
      <c r="Y15" s="22">
        <v>30</v>
      </c>
      <c r="Z15" s="22">
        <v>30</v>
      </c>
      <c r="AA15" s="22">
        <v>30</v>
      </c>
      <c r="AB15" s="22">
        <v>30</v>
      </c>
      <c r="AC15" s="22">
        <v>30</v>
      </c>
      <c r="AD15" s="22">
        <v>30</v>
      </c>
    </row>
    <row r="16" spans="1:30" ht="12.75">
      <c r="A16" s="99" t="s">
        <v>67</v>
      </c>
      <c r="B16" s="19">
        <v>15</v>
      </c>
      <c r="C16" s="173">
        <f>+$B$16</f>
        <v>15</v>
      </c>
      <c r="D16" s="173">
        <f aca="true" t="shared" si="12" ref="D16:Q16">+$B$16</f>
        <v>15</v>
      </c>
      <c r="E16" s="173">
        <f t="shared" si="12"/>
        <v>15</v>
      </c>
      <c r="F16" s="173">
        <f t="shared" si="12"/>
        <v>15</v>
      </c>
      <c r="G16" s="173">
        <f t="shared" si="12"/>
        <v>15</v>
      </c>
      <c r="H16" s="173">
        <f t="shared" si="12"/>
        <v>15</v>
      </c>
      <c r="I16" s="173">
        <f t="shared" si="12"/>
        <v>15</v>
      </c>
      <c r="J16" s="173">
        <f t="shared" si="12"/>
        <v>15</v>
      </c>
      <c r="K16" s="173">
        <f t="shared" si="12"/>
        <v>15</v>
      </c>
      <c r="L16" s="173">
        <f t="shared" si="12"/>
        <v>15</v>
      </c>
      <c r="M16" s="173">
        <f t="shared" si="12"/>
        <v>15</v>
      </c>
      <c r="N16" s="173">
        <f t="shared" si="12"/>
        <v>15</v>
      </c>
      <c r="O16" s="173">
        <f t="shared" si="12"/>
        <v>15</v>
      </c>
      <c r="P16" s="173">
        <f t="shared" si="12"/>
        <v>15</v>
      </c>
      <c r="Q16" s="174">
        <f t="shared" si="12"/>
        <v>15</v>
      </c>
      <c r="R16" s="90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</row>
    <row r="17" spans="1:30" ht="12.75">
      <c r="A17" s="99" t="s">
        <v>68</v>
      </c>
      <c r="B17" s="23">
        <f>6*B10*B14*365/1000</f>
        <v>4292.4</v>
      </c>
      <c r="C17" s="173">
        <f>7*C10*C14*365/1000</f>
        <v>16901.325</v>
      </c>
      <c r="D17" s="173">
        <f aca="true" t="shared" si="13" ref="D17:Q17">7*D10*D14*365/1000</f>
        <v>29689.1</v>
      </c>
      <c r="E17" s="173">
        <f t="shared" si="13"/>
        <v>35531.533333333326</v>
      </c>
      <c r="F17" s="173">
        <f t="shared" si="13"/>
        <v>41373.96666666667</v>
      </c>
      <c r="G17" s="173">
        <f t="shared" si="13"/>
        <v>47216.4</v>
      </c>
      <c r="H17" s="173">
        <f t="shared" si="13"/>
        <v>58090.48</v>
      </c>
      <c r="I17" s="173">
        <f t="shared" si="13"/>
        <v>68964.56000000001</v>
      </c>
      <c r="J17" s="173">
        <f t="shared" si="13"/>
        <v>79838.63999999998</v>
      </c>
      <c r="K17" s="173">
        <f t="shared" si="13"/>
        <v>90712.72</v>
      </c>
      <c r="L17" s="173">
        <f t="shared" si="13"/>
        <v>101586.8</v>
      </c>
      <c r="M17" s="173">
        <f t="shared" si="13"/>
        <v>112317.8</v>
      </c>
      <c r="N17" s="173">
        <f t="shared" si="13"/>
        <v>123048.8</v>
      </c>
      <c r="O17" s="173">
        <f t="shared" si="13"/>
        <v>133779.8</v>
      </c>
      <c r="P17" s="173">
        <f t="shared" si="13"/>
        <v>144510.8</v>
      </c>
      <c r="Q17" s="174">
        <f t="shared" si="13"/>
        <v>155241.8</v>
      </c>
      <c r="R17" s="117">
        <f aca="true" t="shared" si="14" ref="R17:AD17">6*R10*R14*365/1000</f>
        <v>162585.6</v>
      </c>
      <c r="S17" s="23">
        <f t="shared" si="14"/>
        <v>173097.6</v>
      </c>
      <c r="T17" s="23">
        <f t="shared" si="14"/>
        <v>183609.6</v>
      </c>
      <c r="U17" s="23">
        <f t="shared" si="14"/>
        <v>194121.6</v>
      </c>
      <c r="V17" s="23">
        <f t="shared" si="14"/>
        <v>204633.6</v>
      </c>
      <c r="W17" s="23">
        <f t="shared" si="14"/>
        <v>215145.6</v>
      </c>
      <c r="X17" s="23">
        <f t="shared" si="14"/>
        <v>225657.6</v>
      </c>
      <c r="Y17" s="23">
        <f t="shared" si="14"/>
        <v>236169.6</v>
      </c>
      <c r="Z17" s="23">
        <f t="shared" si="14"/>
        <v>246681.6</v>
      </c>
      <c r="AA17" s="23">
        <f t="shared" si="14"/>
        <v>257193.6</v>
      </c>
      <c r="AB17" s="23">
        <f t="shared" si="14"/>
        <v>267705.6</v>
      </c>
      <c r="AC17" s="23">
        <f t="shared" si="14"/>
        <v>278217.6</v>
      </c>
      <c r="AD17" s="23">
        <f t="shared" si="14"/>
        <v>288729.6</v>
      </c>
    </row>
    <row r="18" spans="1:30" ht="12.75">
      <c r="A18" s="99" t="s">
        <v>69</v>
      </c>
      <c r="B18" s="23">
        <f>6*B12*B15*360/1000</f>
        <v>28080</v>
      </c>
      <c r="C18" s="173">
        <f>7*C12*C15*360/1000</f>
        <v>31752</v>
      </c>
      <c r="D18" s="173">
        <f aca="true" t="shared" si="15" ref="D18:P18">7*D12*D15*360/1000</f>
        <v>58464</v>
      </c>
      <c r="E18" s="173">
        <f t="shared" si="15"/>
        <v>65856.00000000001</v>
      </c>
      <c r="F18" s="173">
        <f t="shared" si="15"/>
        <v>73247.99999999999</v>
      </c>
      <c r="G18" s="173">
        <f t="shared" si="15"/>
        <v>80640</v>
      </c>
      <c r="H18" s="173">
        <f t="shared" si="15"/>
        <v>98078.4</v>
      </c>
      <c r="I18" s="173">
        <f t="shared" si="15"/>
        <v>115516.8</v>
      </c>
      <c r="J18" s="173">
        <f t="shared" si="15"/>
        <v>132955.2</v>
      </c>
      <c r="K18" s="173">
        <f t="shared" si="15"/>
        <v>150393.6</v>
      </c>
      <c r="L18" s="173">
        <f t="shared" si="15"/>
        <v>167832</v>
      </c>
      <c r="M18" s="173">
        <f t="shared" si="15"/>
        <v>185472</v>
      </c>
      <c r="N18" s="173">
        <f t="shared" si="15"/>
        <v>203112</v>
      </c>
      <c r="O18" s="173">
        <f t="shared" si="15"/>
        <v>220752</v>
      </c>
      <c r="P18" s="173">
        <f t="shared" si="15"/>
        <v>238392</v>
      </c>
      <c r="Q18" s="174">
        <f>7*Q12*Q15*360/1000</f>
        <v>256032</v>
      </c>
      <c r="R18" s="66">
        <f aca="true" t="shared" si="16" ref="R18:AD18">5*R12*R15*360/1000</f>
        <v>106219.93402828247</v>
      </c>
      <c r="S18" s="24">
        <f t="shared" si="16"/>
        <v>271166.6160315764</v>
      </c>
      <c r="T18" s="24">
        <f t="shared" si="16"/>
        <v>603499.993092616</v>
      </c>
      <c r="U18" s="24">
        <f t="shared" si="16"/>
        <v>1288832.8362670438</v>
      </c>
      <c r="V18" s="24">
        <f t="shared" si="16"/>
        <v>2742176.222600601</v>
      </c>
      <c r="W18" s="24">
        <f t="shared" si="16"/>
        <v>5919990.052390239</v>
      </c>
      <c r="X18" s="24">
        <f t="shared" si="16"/>
        <v>13095224.692689313</v>
      </c>
      <c r="Y18" s="24">
        <f t="shared" si="16"/>
        <v>29839442.6811112</v>
      </c>
      <c r="Z18" s="24">
        <f t="shared" si="16"/>
        <v>70244352.22691602</v>
      </c>
      <c r="AA18" s="24">
        <f t="shared" si="16"/>
        <v>171095268.7219629</v>
      </c>
      <c r="AB18" s="24">
        <f t="shared" si="16"/>
        <v>431526514.22988516</v>
      </c>
      <c r="AC18" s="24">
        <f t="shared" si="16"/>
        <v>1127416405.7657568</v>
      </c>
      <c r="AD18" s="24">
        <f t="shared" si="16"/>
        <v>3051726049.940475</v>
      </c>
    </row>
    <row r="19" spans="1:30" ht="12.75">
      <c r="A19" s="99" t="s">
        <v>70</v>
      </c>
      <c r="B19" s="92">
        <f>6*B13*B16*365/1000</f>
        <v>18724.5</v>
      </c>
      <c r="C19" s="173">
        <f>7*C13*C16*365/1000</f>
        <v>20925.45</v>
      </c>
      <c r="D19" s="173">
        <f aca="true" t="shared" si="17" ref="D19:Q19">7*D13*D16*365/1000</f>
        <v>17667.825</v>
      </c>
      <c r="E19" s="173">
        <f t="shared" si="17"/>
        <v>16505.300000000003</v>
      </c>
      <c r="F19" s="173">
        <f t="shared" si="17"/>
        <v>15342.774999999998</v>
      </c>
      <c r="G19" s="173">
        <f t="shared" si="17"/>
        <v>14180.25</v>
      </c>
      <c r="H19" s="173">
        <f t="shared" si="17"/>
        <v>12233.34</v>
      </c>
      <c r="I19" s="173">
        <f t="shared" si="17"/>
        <v>10286.429999999998</v>
      </c>
      <c r="J19" s="173">
        <f t="shared" si="17"/>
        <v>8339.52</v>
      </c>
      <c r="K19" s="173">
        <f t="shared" si="17"/>
        <v>4445.7</v>
      </c>
      <c r="L19" s="173">
        <f t="shared" si="17"/>
        <v>4445.7</v>
      </c>
      <c r="M19" s="173">
        <f t="shared" si="17"/>
        <v>4445.7</v>
      </c>
      <c r="N19" s="173">
        <f t="shared" si="17"/>
        <v>4445.7</v>
      </c>
      <c r="O19" s="173">
        <f t="shared" si="17"/>
        <v>4445.7</v>
      </c>
      <c r="P19" s="173">
        <f t="shared" si="17"/>
        <v>4445.7</v>
      </c>
      <c r="Q19" s="174">
        <f t="shared" si="17"/>
        <v>4445.7</v>
      </c>
      <c r="R19" s="88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</row>
    <row r="20" spans="1:30" s="4" customFormat="1" ht="13.5" thickBot="1">
      <c r="A20" s="25" t="s">
        <v>1</v>
      </c>
      <c r="B20" s="26">
        <f>+B17+B18</f>
        <v>32372.4</v>
      </c>
      <c r="C20" s="177">
        <f>+C17+C18</f>
        <v>48653.325</v>
      </c>
      <c r="D20" s="177">
        <f aca="true" t="shared" si="18" ref="D20:Q20">+D17+D18</f>
        <v>88153.1</v>
      </c>
      <c r="E20" s="177">
        <f t="shared" si="18"/>
        <v>101387.53333333334</v>
      </c>
      <c r="F20" s="177">
        <f t="shared" si="18"/>
        <v>114621.96666666665</v>
      </c>
      <c r="G20" s="177">
        <f t="shared" si="18"/>
        <v>127856.4</v>
      </c>
      <c r="H20" s="177">
        <f t="shared" si="18"/>
        <v>156168.88</v>
      </c>
      <c r="I20" s="177">
        <f t="shared" si="18"/>
        <v>184481.36000000002</v>
      </c>
      <c r="J20" s="177">
        <f t="shared" si="18"/>
        <v>212793.84</v>
      </c>
      <c r="K20" s="177">
        <f t="shared" si="18"/>
        <v>241106.32</v>
      </c>
      <c r="L20" s="177">
        <f t="shared" si="18"/>
        <v>269418.8</v>
      </c>
      <c r="M20" s="177">
        <f t="shared" si="18"/>
        <v>297789.8</v>
      </c>
      <c r="N20" s="177">
        <f t="shared" si="18"/>
        <v>326160.8</v>
      </c>
      <c r="O20" s="177">
        <f t="shared" si="18"/>
        <v>354531.8</v>
      </c>
      <c r="P20" s="177">
        <f t="shared" si="18"/>
        <v>382902.8</v>
      </c>
      <c r="Q20" s="178">
        <f t="shared" si="18"/>
        <v>411273.8</v>
      </c>
      <c r="R20" s="67">
        <f aca="true" t="shared" si="19" ref="R20:AD20">+R17+R18</f>
        <v>268805.5340282825</v>
      </c>
      <c r="S20" s="27">
        <f t="shared" si="19"/>
        <v>444264.2160315764</v>
      </c>
      <c r="T20" s="27">
        <f t="shared" si="19"/>
        <v>787109.593092616</v>
      </c>
      <c r="U20" s="27">
        <f t="shared" si="19"/>
        <v>1482954.436267044</v>
      </c>
      <c r="V20" s="27">
        <f t="shared" si="19"/>
        <v>2946809.8226006012</v>
      </c>
      <c r="W20" s="27">
        <f t="shared" si="19"/>
        <v>6135135.652390239</v>
      </c>
      <c r="X20" s="27">
        <f t="shared" si="19"/>
        <v>13320882.292689312</v>
      </c>
      <c r="Y20" s="27">
        <f t="shared" si="19"/>
        <v>30075612.281111203</v>
      </c>
      <c r="Z20" s="27">
        <f t="shared" si="19"/>
        <v>70491033.82691601</v>
      </c>
      <c r="AA20" s="27">
        <f t="shared" si="19"/>
        <v>171352462.3219629</v>
      </c>
      <c r="AB20" s="27">
        <f t="shared" si="19"/>
        <v>431794219.8298852</v>
      </c>
      <c r="AC20" s="27">
        <f t="shared" si="19"/>
        <v>1127694623.3657568</v>
      </c>
      <c r="AD20" s="27">
        <f t="shared" si="19"/>
        <v>3052014779.540475</v>
      </c>
    </row>
    <row r="21" spans="1:17" ht="12.75">
      <c r="A21" s="8"/>
      <c r="B21" s="9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9"/>
    </row>
    <row r="22" spans="1:17" ht="12.75">
      <c r="A22" s="139" t="s">
        <v>71</v>
      </c>
      <c r="B22" s="5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1"/>
    </row>
    <row r="23" spans="1:30" ht="12.75">
      <c r="A23" s="136" t="s">
        <v>72</v>
      </c>
      <c r="B23" s="28">
        <v>1800</v>
      </c>
      <c r="C23" s="152">
        <v>1200</v>
      </c>
      <c r="D23" s="152">
        <f>+C23</f>
        <v>1200</v>
      </c>
      <c r="E23" s="152">
        <f aca="true" t="shared" si="20" ref="E23:AD25">+D23</f>
        <v>1200</v>
      </c>
      <c r="F23" s="152">
        <f t="shared" si="20"/>
        <v>1200</v>
      </c>
      <c r="G23" s="152">
        <f t="shared" si="20"/>
        <v>1200</v>
      </c>
      <c r="H23" s="152">
        <f t="shared" si="20"/>
        <v>1200</v>
      </c>
      <c r="I23" s="152">
        <f t="shared" si="20"/>
        <v>1200</v>
      </c>
      <c r="J23" s="152">
        <f t="shared" si="20"/>
        <v>1200</v>
      </c>
      <c r="K23" s="152">
        <f t="shared" si="20"/>
        <v>1200</v>
      </c>
      <c r="L23" s="152">
        <f t="shared" si="20"/>
        <v>1200</v>
      </c>
      <c r="M23" s="152">
        <f t="shared" si="20"/>
        <v>1200</v>
      </c>
      <c r="N23" s="152">
        <f t="shared" si="20"/>
        <v>1200</v>
      </c>
      <c r="O23" s="152">
        <f t="shared" si="20"/>
        <v>1200</v>
      </c>
      <c r="P23" s="152">
        <f t="shared" si="20"/>
        <v>1200</v>
      </c>
      <c r="Q23" s="153">
        <f t="shared" si="20"/>
        <v>1200</v>
      </c>
      <c r="R23" s="119">
        <f t="shared" si="20"/>
        <v>1200</v>
      </c>
      <c r="S23" s="28">
        <f t="shared" si="20"/>
        <v>1200</v>
      </c>
      <c r="T23" s="28">
        <f t="shared" si="20"/>
        <v>1200</v>
      </c>
      <c r="U23" s="28">
        <f t="shared" si="20"/>
        <v>1200</v>
      </c>
      <c r="V23" s="28">
        <f t="shared" si="20"/>
        <v>1200</v>
      </c>
      <c r="W23" s="28">
        <f t="shared" si="20"/>
        <v>1200</v>
      </c>
      <c r="X23" s="28">
        <f t="shared" si="20"/>
        <v>1200</v>
      </c>
      <c r="Y23" s="28">
        <f t="shared" si="20"/>
        <v>1200</v>
      </c>
      <c r="Z23" s="28">
        <f t="shared" si="20"/>
        <v>1200</v>
      </c>
      <c r="AA23" s="28">
        <f t="shared" si="20"/>
        <v>1200</v>
      </c>
      <c r="AB23" s="28">
        <f t="shared" si="20"/>
        <v>1200</v>
      </c>
      <c r="AC23" s="28">
        <f t="shared" si="20"/>
        <v>1200</v>
      </c>
      <c r="AD23" s="28">
        <f t="shared" si="20"/>
        <v>1200</v>
      </c>
    </row>
    <row r="24" spans="1:30" ht="12.75">
      <c r="A24" s="136" t="s">
        <v>73</v>
      </c>
      <c r="B24" s="6">
        <v>1200</v>
      </c>
      <c r="C24" s="152">
        <f>+C23*0.65</f>
        <v>780</v>
      </c>
      <c r="D24" s="152">
        <f aca="true" t="shared" si="21" ref="D24:S25">+C24</f>
        <v>780</v>
      </c>
      <c r="E24" s="152">
        <f t="shared" si="21"/>
        <v>780</v>
      </c>
      <c r="F24" s="152">
        <f t="shared" si="21"/>
        <v>780</v>
      </c>
      <c r="G24" s="152">
        <f t="shared" si="21"/>
        <v>780</v>
      </c>
      <c r="H24" s="152">
        <f t="shared" si="21"/>
        <v>780</v>
      </c>
      <c r="I24" s="152">
        <f t="shared" si="21"/>
        <v>780</v>
      </c>
      <c r="J24" s="152">
        <f t="shared" si="21"/>
        <v>780</v>
      </c>
      <c r="K24" s="152">
        <f t="shared" si="21"/>
        <v>780</v>
      </c>
      <c r="L24" s="152">
        <f t="shared" si="21"/>
        <v>780</v>
      </c>
      <c r="M24" s="152">
        <f t="shared" si="21"/>
        <v>780</v>
      </c>
      <c r="N24" s="152">
        <f t="shared" si="21"/>
        <v>780</v>
      </c>
      <c r="O24" s="152">
        <f t="shared" si="21"/>
        <v>780</v>
      </c>
      <c r="P24" s="152">
        <f t="shared" si="21"/>
        <v>780</v>
      </c>
      <c r="Q24" s="153">
        <f t="shared" si="21"/>
        <v>780</v>
      </c>
      <c r="R24" s="119">
        <f t="shared" si="21"/>
        <v>780</v>
      </c>
      <c r="S24" s="28">
        <f t="shared" si="21"/>
        <v>780</v>
      </c>
      <c r="T24" s="28">
        <f t="shared" si="20"/>
        <v>780</v>
      </c>
      <c r="U24" s="28">
        <f t="shared" si="20"/>
        <v>780</v>
      </c>
      <c r="V24" s="28">
        <f t="shared" si="20"/>
        <v>780</v>
      </c>
      <c r="W24" s="28">
        <f t="shared" si="20"/>
        <v>780</v>
      </c>
      <c r="X24" s="28">
        <f t="shared" si="20"/>
        <v>780</v>
      </c>
      <c r="Y24" s="28">
        <f t="shared" si="20"/>
        <v>780</v>
      </c>
      <c r="Z24" s="28">
        <f t="shared" si="20"/>
        <v>780</v>
      </c>
      <c r="AA24" s="28">
        <f t="shared" si="20"/>
        <v>780</v>
      </c>
      <c r="AB24" s="28">
        <f t="shared" si="20"/>
        <v>780</v>
      </c>
      <c r="AC24" s="28">
        <f t="shared" si="20"/>
        <v>780</v>
      </c>
      <c r="AD24" s="28">
        <f t="shared" si="20"/>
        <v>780</v>
      </c>
    </row>
    <row r="25" spans="1:30" ht="12.75">
      <c r="A25" s="136" t="s">
        <v>74</v>
      </c>
      <c r="B25" s="6">
        <v>1000</v>
      </c>
      <c r="C25" s="152">
        <f>+C23/2</f>
        <v>600</v>
      </c>
      <c r="D25" s="152">
        <f t="shared" si="21"/>
        <v>600</v>
      </c>
      <c r="E25" s="152">
        <f t="shared" si="20"/>
        <v>600</v>
      </c>
      <c r="F25" s="152">
        <f t="shared" si="20"/>
        <v>600</v>
      </c>
      <c r="G25" s="152">
        <f t="shared" si="20"/>
        <v>600</v>
      </c>
      <c r="H25" s="152">
        <f t="shared" si="20"/>
        <v>600</v>
      </c>
      <c r="I25" s="152">
        <f t="shared" si="20"/>
        <v>600</v>
      </c>
      <c r="J25" s="152">
        <f t="shared" si="20"/>
        <v>600</v>
      </c>
      <c r="K25" s="152">
        <f t="shared" si="20"/>
        <v>600</v>
      </c>
      <c r="L25" s="152">
        <f t="shared" si="20"/>
        <v>600</v>
      </c>
      <c r="M25" s="152">
        <f t="shared" si="20"/>
        <v>600</v>
      </c>
      <c r="N25" s="152">
        <f t="shared" si="20"/>
        <v>600</v>
      </c>
      <c r="O25" s="152">
        <f t="shared" si="20"/>
        <v>600</v>
      </c>
      <c r="P25" s="152">
        <f t="shared" si="20"/>
        <v>600</v>
      </c>
      <c r="Q25" s="153">
        <f t="shared" si="20"/>
        <v>600</v>
      </c>
      <c r="R25" s="119">
        <f t="shared" si="20"/>
        <v>600</v>
      </c>
      <c r="S25" s="28">
        <f t="shared" si="20"/>
        <v>600</v>
      </c>
      <c r="T25" s="28">
        <f t="shared" si="20"/>
        <v>600</v>
      </c>
      <c r="U25" s="28">
        <f t="shared" si="20"/>
        <v>600</v>
      </c>
      <c r="V25" s="28">
        <f t="shared" si="20"/>
        <v>600</v>
      </c>
      <c r="W25" s="28">
        <f t="shared" si="20"/>
        <v>600</v>
      </c>
      <c r="X25" s="28">
        <f t="shared" si="20"/>
        <v>600</v>
      </c>
      <c r="Y25" s="28">
        <f t="shared" si="20"/>
        <v>600</v>
      </c>
      <c r="Z25" s="28">
        <f t="shared" si="20"/>
        <v>600</v>
      </c>
      <c r="AA25" s="28">
        <f t="shared" si="20"/>
        <v>600</v>
      </c>
      <c r="AB25" s="28">
        <f t="shared" si="20"/>
        <v>600</v>
      </c>
      <c r="AC25" s="28">
        <f t="shared" si="20"/>
        <v>600</v>
      </c>
      <c r="AD25" s="28">
        <f t="shared" si="20"/>
        <v>600</v>
      </c>
    </row>
    <row r="26" spans="1:30" ht="12.75">
      <c r="A26" s="136" t="s">
        <v>75</v>
      </c>
      <c r="B26" s="28">
        <f>+B17*B23</f>
        <v>7726319.999999999</v>
      </c>
      <c r="C26" s="152">
        <f>+C17*C23</f>
        <v>20281590</v>
      </c>
      <c r="D26" s="152">
        <f>+D17*D23</f>
        <v>35626920</v>
      </c>
      <c r="E26" s="152">
        <f aca="true" t="shared" si="22" ref="E26:AD26">+E17*E23</f>
        <v>42637839.99999999</v>
      </c>
      <c r="F26" s="152">
        <f t="shared" si="22"/>
        <v>49648760</v>
      </c>
      <c r="G26" s="152">
        <f t="shared" si="22"/>
        <v>56659680</v>
      </c>
      <c r="H26" s="152">
        <f t="shared" si="22"/>
        <v>69708576</v>
      </c>
      <c r="I26" s="152">
        <f t="shared" si="22"/>
        <v>82757472.00000001</v>
      </c>
      <c r="J26" s="152">
        <f t="shared" si="22"/>
        <v>95806367.99999999</v>
      </c>
      <c r="K26" s="152">
        <f t="shared" si="22"/>
        <v>108855264</v>
      </c>
      <c r="L26" s="152">
        <f t="shared" si="22"/>
        <v>121904160</v>
      </c>
      <c r="M26" s="152">
        <f t="shared" si="22"/>
        <v>134781360</v>
      </c>
      <c r="N26" s="152">
        <f t="shared" si="22"/>
        <v>147658560</v>
      </c>
      <c r="O26" s="152">
        <f t="shared" si="22"/>
        <v>160535760</v>
      </c>
      <c r="P26" s="152">
        <f t="shared" si="22"/>
        <v>173412960</v>
      </c>
      <c r="Q26" s="153">
        <f t="shared" si="22"/>
        <v>186290160</v>
      </c>
      <c r="R26" s="68">
        <f t="shared" si="22"/>
        <v>195102720</v>
      </c>
      <c r="S26" s="29">
        <f t="shared" si="22"/>
        <v>207717120</v>
      </c>
      <c r="T26" s="29">
        <f t="shared" si="22"/>
        <v>220331520</v>
      </c>
      <c r="U26" s="29">
        <f t="shared" si="22"/>
        <v>232945920</v>
      </c>
      <c r="V26" s="29">
        <f t="shared" si="22"/>
        <v>245560320</v>
      </c>
      <c r="W26" s="29">
        <f t="shared" si="22"/>
        <v>258174720</v>
      </c>
      <c r="X26" s="29">
        <f t="shared" si="22"/>
        <v>270789120</v>
      </c>
      <c r="Y26" s="29">
        <f t="shared" si="22"/>
        <v>283403520</v>
      </c>
      <c r="Z26" s="29">
        <f t="shared" si="22"/>
        <v>296017920</v>
      </c>
      <c r="AA26" s="29">
        <f t="shared" si="22"/>
        <v>308632320</v>
      </c>
      <c r="AB26" s="29">
        <f t="shared" si="22"/>
        <v>321246720</v>
      </c>
      <c r="AC26" s="29">
        <f t="shared" si="22"/>
        <v>333861120</v>
      </c>
      <c r="AD26" s="29">
        <f t="shared" si="22"/>
        <v>346475520</v>
      </c>
    </row>
    <row r="27" spans="1:30" ht="12.75">
      <c r="A27" s="136" t="s">
        <v>76</v>
      </c>
      <c r="B27" s="28">
        <f>+B18*B24</f>
        <v>33696000</v>
      </c>
      <c r="C27" s="152">
        <f aca="true" t="shared" si="23" ref="C27:AD27">+C18*C24</f>
        <v>24766560</v>
      </c>
      <c r="D27" s="152">
        <f t="shared" si="23"/>
        <v>45601920</v>
      </c>
      <c r="E27" s="152">
        <f t="shared" si="23"/>
        <v>51367680.000000015</v>
      </c>
      <c r="F27" s="152">
        <f t="shared" si="23"/>
        <v>57133439.999999985</v>
      </c>
      <c r="G27" s="152">
        <f t="shared" si="23"/>
        <v>62899200</v>
      </c>
      <c r="H27" s="152">
        <f t="shared" si="23"/>
        <v>76501152</v>
      </c>
      <c r="I27" s="152">
        <f t="shared" si="23"/>
        <v>90103104</v>
      </c>
      <c r="J27" s="152">
        <f t="shared" si="23"/>
        <v>103705056.00000001</v>
      </c>
      <c r="K27" s="152">
        <f t="shared" si="23"/>
        <v>117307008</v>
      </c>
      <c r="L27" s="152">
        <f t="shared" si="23"/>
        <v>130908960</v>
      </c>
      <c r="M27" s="152">
        <f t="shared" si="23"/>
        <v>144668160</v>
      </c>
      <c r="N27" s="152">
        <f t="shared" si="23"/>
        <v>158427360</v>
      </c>
      <c r="O27" s="152">
        <f t="shared" si="23"/>
        <v>172186560</v>
      </c>
      <c r="P27" s="152">
        <f t="shared" si="23"/>
        <v>185945760</v>
      </c>
      <c r="Q27" s="153">
        <f>+Q18*Q24</f>
        <v>199704960</v>
      </c>
      <c r="R27" s="69">
        <f t="shared" si="23"/>
        <v>82851548.54206033</v>
      </c>
      <c r="S27" s="12">
        <f t="shared" si="23"/>
        <v>211509960.5046296</v>
      </c>
      <c r="T27" s="12">
        <f t="shared" si="23"/>
        <v>470729994.61224043</v>
      </c>
      <c r="U27" s="12">
        <f t="shared" si="23"/>
        <v>1005289612.2882942</v>
      </c>
      <c r="V27" s="12">
        <f t="shared" si="23"/>
        <v>2138897453.628469</v>
      </c>
      <c r="W27" s="12">
        <f t="shared" si="23"/>
        <v>4617592240.864387</v>
      </c>
      <c r="X27" s="12">
        <f t="shared" si="23"/>
        <v>10214275260.297665</v>
      </c>
      <c r="Y27" s="12">
        <f t="shared" si="23"/>
        <v>23274765291.26674</v>
      </c>
      <c r="Z27" s="12">
        <f t="shared" si="23"/>
        <v>54790594736.99449</v>
      </c>
      <c r="AA27" s="12">
        <f t="shared" si="23"/>
        <v>133454309603.13106</v>
      </c>
      <c r="AB27" s="12">
        <f t="shared" si="23"/>
        <v>336590681099.3104</v>
      </c>
      <c r="AC27" s="12">
        <f t="shared" si="23"/>
        <v>879384796497.2903</v>
      </c>
      <c r="AD27" s="12">
        <f t="shared" si="23"/>
        <v>2380346318953.5703</v>
      </c>
    </row>
    <row r="28" spans="1:30" ht="12.75">
      <c r="A28" s="136" t="s">
        <v>77</v>
      </c>
      <c r="B28" s="28">
        <f>+B19*B25</f>
        <v>18724500</v>
      </c>
      <c r="C28" s="152">
        <f aca="true" t="shared" si="24" ref="C28:O28">+C19*C25</f>
        <v>12555270</v>
      </c>
      <c r="D28" s="152">
        <f t="shared" si="24"/>
        <v>10600695</v>
      </c>
      <c r="E28" s="152">
        <f t="shared" si="24"/>
        <v>9903180.000000002</v>
      </c>
      <c r="F28" s="152">
        <f t="shared" si="24"/>
        <v>9205664.999999998</v>
      </c>
      <c r="G28" s="152">
        <f t="shared" si="24"/>
        <v>8508150</v>
      </c>
      <c r="H28" s="152">
        <f t="shared" si="24"/>
        <v>7340004</v>
      </c>
      <c r="I28" s="152">
        <f t="shared" si="24"/>
        <v>6171857.999999999</v>
      </c>
      <c r="J28" s="152">
        <f t="shared" si="24"/>
        <v>5003712</v>
      </c>
      <c r="K28" s="152">
        <f t="shared" si="24"/>
        <v>2667420</v>
      </c>
      <c r="L28" s="152">
        <f t="shared" si="24"/>
        <v>2667420</v>
      </c>
      <c r="M28" s="152">
        <f t="shared" si="24"/>
        <v>2667420</v>
      </c>
      <c r="N28" s="152">
        <f t="shared" si="24"/>
        <v>2667420</v>
      </c>
      <c r="O28" s="152">
        <f t="shared" si="24"/>
        <v>2667420</v>
      </c>
      <c r="P28" s="152">
        <f>+P19*P25</f>
        <v>2667420</v>
      </c>
      <c r="Q28" s="153">
        <f>+Q19*Q25</f>
        <v>2667420</v>
      </c>
      <c r="R28" s="81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</row>
    <row r="29" spans="1:30" ht="12.75">
      <c r="A29" s="136" t="s">
        <v>78</v>
      </c>
      <c r="B29" s="28">
        <f>B28*4/6</f>
        <v>12483000</v>
      </c>
      <c r="C29" s="152">
        <f>C28*3/7</f>
        <v>5380830</v>
      </c>
      <c r="D29" s="152">
        <f aca="true" t="shared" si="25" ref="D29:P29">D28*3/7</f>
        <v>4543155</v>
      </c>
      <c r="E29" s="152">
        <f t="shared" si="25"/>
        <v>4244220.000000001</v>
      </c>
      <c r="F29" s="152">
        <f t="shared" si="25"/>
        <v>3945284.999999999</v>
      </c>
      <c r="G29" s="152">
        <f t="shared" si="25"/>
        <v>3646350</v>
      </c>
      <c r="H29" s="152">
        <f t="shared" si="25"/>
        <v>3145716</v>
      </c>
      <c r="I29" s="152">
        <f t="shared" si="25"/>
        <v>2645081.9999999995</v>
      </c>
      <c r="J29" s="152">
        <f t="shared" si="25"/>
        <v>2144448</v>
      </c>
      <c r="K29" s="152">
        <f t="shared" si="25"/>
        <v>1143180</v>
      </c>
      <c r="L29" s="152">
        <f t="shared" si="25"/>
        <v>1143180</v>
      </c>
      <c r="M29" s="152">
        <f t="shared" si="25"/>
        <v>1143180</v>
      </c>
      <c r="N29" s="152">
        <f t="shared" si="25"/>
        <v>1143180</v>
      </c>
      <c r="O29" s="152">
        <f t="shared" si="25"/>
        <v>1143180</v>
      </c>
      <c r="P29" s="152">
        <f t="shared" si="25"/>
        <v>1143180</v>
      </c>
      <c r="Q29" s="153">
        <f>Q28*3/7</f>
        <v>1143180</v>
      </c>
      <c r="R29" s="81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</row>
    <row r="30" spans="1:30" ht="12.75">
      <c r="A30" s="136" t="s">
        <v>79</v>
      </c>
      <c r="B30" s="28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4"/>
      <c r="R30" s="81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</row>
    <row r="31" spans="1:31" s="4" customFormat="1" ht="13.5" thickBot="1">
      <c r="A31" s="30" t="s">
        <v>2</v>
      </c>
      <c r="B31" s="31">
        <v>0</v>
      </c>
      <c r="C31" s="155">
        <f>+C26+C27+C28+C29</f>
        <v>62984250</v>
      </c>
      <c r="D31" s="155">
        <f aca="true" t="shared" si="26" ref="D31:P31">+D26+D27+D28+D29</f>
        <v>96372690</v>
      </c>
      <c r="E31" s="155">
        <f t="shared" si="26"/>
        <v>108152920</v>
      </c>
      <c r="F31" s="155">
        <f t="shared" si="26"/>
        <v>119933149.99999999</v>
      </c>
      <c r="G31" s="155">
        <f t="shared" si="26"/>
        <v>131713380</v>
      </c>
      <c r="H31" s="155">
        <f t="shared" si="26"/>
        <v>156695448</v>
      </c>
      <c r="I31" s="155">
        <f t="shared" si="26"/>
        <v>181677516</v>
      </c>
      <c r="J31" s="155">
        <f t="shared" si="26"/>
        <v>206659584</v>
      </c>
      <c r="K31" s="155">
        <f t="shared" si="26"/>
        <v>229972872</v>
      </c>
      <c r="L31" s="155">
        <f t="shared" si="26"/>
        <v>256623720</v>
      </c>
      <c r="M31" s="155">
        <f t="shared" si="26"/>
        <v>283260120</v>
      </c>
      <c r="N31" s="155">
        <f t="shared" si="26"/>
        <v>309896520</v>
      </c>
      <c r="O31" s="155">
        <f t="shared" si="26"/>
        <v>336532920</v>
      </c>
      <c r="P31" s="155">
        <f t="shared" si="26"/>
        <v>363169320</v>
      </c>
      <c r="Q31" s="156">
        <f>+Q26+Q27</f>
        <v>385995120</v>
      </c>
      <c r="R31" s="70">
        <f aca="true" t="shared" si="27" ref="R31:AD31">+R26+R27</f>
        <v>277954268.5420603</v>
      </c>
      <c r="S31" s="32">
        <f t="shared" si="27"/>
        <v>419227080.5046296</v>
      </c>
      <c r="T31" s="32">
        <f t="shared" si="27"/>
        <v>691061514.6122404</v>
      </c>
      <c r="U31" s="32">
        <f t="shared" si="27"/>
        <v>1238235532.2882943</v>
      </c>
      <c r="V31" s="32">
        <f t="shared" si="27"/>
        <v>2384457773.628469</v>
      </c>
      <c r="W31" s="32">
        <f t="shared" si="27"/>
        <v>4875766960.864387</v>
      </c>
      <c r="X31" s="32">
        <f t="shared" si="27"/>
        <v>10485064380.297665</v>
      </c>
      <c r="Y31" s="32">
        <f t="shared" si="27"/>
        <v>23558168811.26674</v>
      </c>
      <c r="Z31" s="32">
        <f t="shared" si="27"/>
        <v>55086612656.99449</v>
      </c>
      <c r="AA31" s="32">
        <f t="shared" si="27"/>
        <v>133762941923.13106</v>
      </c>
      <c r="AB31" s="32">
        <f t="shared" si="27"/>
        <v>336911927819.3104</v>
      </c>
      <c r="AC31" s="32">
        <f t="shared" si="27"/>
        <v>879718657617.2903</v>
      </c>
      <c r="AD31" s="32">
        <f t="shared" si="27"/>
        <v>2380692794473.5703</v>
      </c>
      <c r="AE31" s="107">
        <f>AVERAGE(C31:Q31)</f>
        <v>215309302</v>
      </c>
    </row>
    <row r="32" spans="1:17" ht="12.75">
      <c r="A32" s="8"/>
      <c r="B32" s="9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8"/>
    </row>
    <row r="33" spans="1:31" ht="12.75">
      <c r="A33" s="139" t="s">
        <v>80</v>
      </c>
      <c r="B33" s="127"/>
      <c r="C33" s="159">
        <f>'CALCUL_ANNUITE ENSEMBLE'!D5</f>
        <v>513366430</v>
      </c>
      <c r="D33" s="94">
        <f>220000*(D12-C12)+37500*(D10-C10)</f>
        <v>121962500</v>
      </c>
      <c r="E33" s="94">
        <f>220000*(E12-D12)+37500*(E10-D10)</f>
        <v>34716666.66666668</v>
      </c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160"/>
      <c r="R33" s="120">
        <f aca="true" t="shared" si="28" ref="R33:AD33">+(R10-Q10)*75000</f>
        <v>9000000</v>
      </c>
      <c r="S33" s="5">
        <f t="shared" si="28"/>
        <v>9000000</v>
      </c>
      <c r="T33" s="5">
        <f t="shared" si="28"/>
        <v>9000000</v>
      </c>
      <c r="U33" s="5">
        <f t="shared" si="28"/>
        <v>9000000</v>
      </c>
      <c r="V33" s="5">
        <f t="shared" si="28"/>
        <v>9000000</v>
      </c>
      <c r="W33" s="5">
        <f t="shared" si="28"/>
        <v>9000000</v>
      </c>
      <c r="X33" s="5">
        <f t="shared" si="28"/>
        <v>9000000</v>
      </c>
      <c r="Y33" s="5">
        <f t="shared" si="28"/>
        <v>9000000</v>
      </c>
      <c r="Z33" s="5">
        <f t="shared" si="28"/>
        <v>9000000</v>
      </c>
      <c r="AA33" s="5">
        <f t="shared" si="28"/>
        <v>9000000</v>
      </c>
      <c r="AB33" s="5">
        <f t="shared" si="28"/>
        <v>9000000</v>
      </c>
      <c r="AC33" s="5">
        <f t="shared" si="28"/>
        <v>9000000</v>
      </c>
      <c r="AD33" s="5">
        <f t="shared" si="28"/>
        <v>9000000</v>
      </c>
      <c r="AE33" s="53">
        <f>SUM(C33:P33)</f>
        <v>670045596.6666666</v>
      </c>
    </row>
    <row r="34" spans="1:30" ht="12.75">
      <c r="A34" s="139" t="s">
        <v>81</v>
      </c>
      <c r="B34" s="93">
        <v>12000000</v>
      </c>
      <c r="C34" s="94">
        <f>+B34*1.05</f>
        <v>12600000</v>
      </c>
      <c r="D34" s="94">
        <f aca="true" t="shared" si="29" ref="D34:P34">+C34*1.05</f>
        <v>13230000</v>
      </c>
      <c r="E34" s="94">
        <f t="shared" si="29"/>
        <v>13891500</v>
      </c>
      <c r="F34" s="94">
        <f t="shared" si="29"/>
        <v>14586075</v>
      </c>
      <c r="G34" s="94">
        <f t="shared" si="29"/>
        <v>15315378.75</v>
      </c>
      <c r="H34" s="94">
        <f t="shared" si="29"/>
        <v>16081147.6875</v>
      </c>
      <c r="I34" s="94">
        <f t="shared" si="29"/>
        <v>16885205.071875002</v>
      </c>
      <c r="J34" s="94">
        <f t="shared" si="29"/>
        <v>17729465.325468753</v>
      </c>
      <c r="K34" s="94">
        <f t="shared" si="29"/>
        <v>18615938.59174219</v>
      </c>
      <c r="L34" s="94">
        <f t="shared" si="29"/>
        <v>19546735.521329302</v>
      </c>
      <c r="M34" s="94">
        <f t="shared" si="29"/>
        <v>20524072.29739577</v>
      </c>
      <c r="N34" s="94">
        <f t="shared" si="29"/>
        <v>21550275.912265558</v>
      </c>
      <c r="O34" s="94">
        <f t="shared" si="29"/>
        <v>22627789.707878835</v>
      </c>
      <c r="P34" s="94">
        <f t="shared" si="29"/>
        <v>23759179.193272777</v>
      </c>
      <c r="Q34" s="160">
        <f>+P34+1080160</f>
        <v>24839339.193272777</v>
      </c>
      <c r="R34" s="71">
        <f aca="true" t="shared" si="30" ref="R34:AD34">+Q34+1080160</f>
        <v>25919499.193272777</v>
      </c>
      <c r="S34" s="11">
        <f t="shared" si="30"/>
        <v>26999659.193272777</v>
      </c>
      <c r="T34" s="11">
        <f t="shared" si="30"/>
        <v>28079819.193272777</v>
      </c>
      <c r="U34" s="11">
        <f t="shared" si="30"/>
        <v>29159979.193272777</v>
      </c>
      <c r="V34" s="11">
        <f t="shared" si="30"/>
        <v>30240139.193272777</v>
      </c>
      <c r="W34" s="11">
        <f t="shared" si="30"/>
        <v>31320299.193272777</v>
      </c>
      <c r="X34" s="11">
        <f t="shared" si="30"/>
        <v>32400459.193272777</v>
      </c>
      <c r="Y34" s="11">
        <f t="shared" si="30"/>
        <v>33480619.193272777</v>
      </c>
      <c r="Z34" s="11">
        <f t="shared" si="30"/>
        <v>34560779.19327278</v>
      </c>
      <c r="AA34" s="11">
        <f t="shared" si="30"/>
        <v>35640939.19327278</v>
      </c>
      <c r="AB34" s="11">
        <f t="shared" si="30"/>
        <v>36721099.19327278</v>
      </c>
      <c r="AC34" s="11">
        <f t="shared" si="30"/>
        <v>37801259.19327278</v>
      </c>
      <c r="AD34" s="11">
        <f t="shared" si="30"/>
        <v>38881419.19327278</v>
      </c>
    </row>
    <row r="35" spans="1:30" ht="12.75">
      <c r="A35" s="139" t="s">
        <v>91</v>
      </c>
      <c r="B35" s="93">
        <f>+B34*0.18</f>
        <v>2160000</v>
      </c>
      <c r="C35" s="94">
        <f aca="true" t="shared" si="31" ref="C35:Q35">+C34*0.18</f>
        <v>2268000</v>
      </c>
      <c r="D35" s="94">
        <f t="shared" si="31"/>
        <v>2381400</v>
      </c>
      <c r="E35" s="94">
        <f t="shared" si="31"/>
        <v>2500470</v>
      </c>
      <c r="F35" s="94">
        <f t="shared" si="31"/>
        <v>2625493.5</v>
      </c>
      <c r="G35" s="94">
        <f t="shared" si="31"/>
        <v>2756768.175</v>
      </c>
      <c r="H35" s="94">
        <f t="shared" si="31"/>
        <v>2894606.5837499998</v>
      </c>
      <c r="I35" s="94">
        <f t="shared" si="31"/>
        <v>3039336.9129375005</v>
      </c>
      <c r="J35" s="94">
        <f t="shared" si="31"/>
        <v>3191303.7585843755</v>
      </c>
      <c r="K35" s="94">
        <f t="shared" si="31"/>
        <v>3350868.946513594</v>
      </c>
      <c r="L35" s="94">
        <f t="shared" si="31"/>
        <v>3518412.393839274</v>
      </c>
      <c r="M35" s="94">
        <f t="shared" si="31"/>
        <v>3694333.0135312383</v>
      </c>
      <c r="N35" s="94">
        <f t="shared" si="31"/>
        <v>3879049.6642078003</v>
      </c>
      <c r="O35" s="94">
        <f t="shared" si="31"/>
        <v>4073002.1474181903</v>
      </c>
      <c r="P35" s="94">
        <f t="shared" si="31"/>
        <v>4276652.2547891</v>
      </c>
      <c r="Q35" s="160">
        <f t="shared" si="31"/>
        <v>4471081.0547891</v>
      </c>
      <c r="R35" s="7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12.75">
      <c r="A36" s="139" t="s">
        <v>82</v>
      </c>
      <c r="B36" s="6">
        <f>+B20*1.5*33000/1000</f>
        <v>1602433.8000000003</v>
      </c>
      <c r="C36" s="94">
        <f aca="true" t="shared" si="32" ref="C36:AD36">+C20*1.5*33000/1000</f>
        <v>2408339.5874999994</v>
      </c>
      <c r="D36" s="94">
        <f t="shared" si="32"/>
        <v>4363578.450000001</v>
      </c>
      <c r="E36" s="94">
        <f t="shared" si="32"/>
        <v>5018682.900000001</v>
      </c>
      <c r="F36" s="94">
        <f t="shared" si="32"/>
        <v>5673787.349999998</v>
      </c>
      <c r="G36" s="94">
        <f t="shared" si="32"/>
        <v>6328891.799999999</v>
      </c>
      <c r="H36" s="94">
        <f t="shared" si="32"/>
        <v>7730359.56</v>
      </c>
      <c r="I36" s="94">
        <f t="shared" si="32"/>
        <v>9131827.320000002</v>
      </c>
      <c r="J36" s="94">
        <f t="shared" si="32"/>
        <v>10533295.08</v>
      </c>
      <c r="K36" s="94">
        <f t="shared" si="32"/>
        <v>11934762.84</v>
      </c>
      <c r="L36" s="94">
        <f t="shared" si="32"/>
        <v>13336230.599999998</v>
      </c>
      <c r="M36" s="94">
        <f t="shared" si="32"/>
        <v>14740595.099999998</v>
      </c>
      <c r="N36" s="94">
        <f t="shared" si="32"/>
        <v>16144959.599999998</v>
      </c>
      <c r="O36" s="94">
        <f t="shared" si="32"/>
        <v>17549324.1</v>
      </c>
      <c r="P36" s="94">
        <f t="shared" si="32"/>
        <v>18953688.6</v>
      </c>
      <c r="Q36" s="160">
        <f t="shared" si="32"/>
        <v>20358053.1</v>
      </c>
      <c r="R36" s="69">
        <f t="shared" si="32"/>
        <v>13305873.934399985</v>
      </c>
      <c r="S36" s="12">
        <f t="shared" si="32"/>
        <v>21991078.69356303</v>
      </c>
      <c r="T36" s="12">
        <f t="shared" si="32"/>
        <v>38961924.85808449</v>
      </c>
      <c r="U36" s="12">
        <f t="shared" si="32"/>
        <v>73406244.59521867</v>
      </c>
      <c r="V36" s="12">
        <f t="shared" si="32"/>
        <v>145867086.21872976</v>
      </c>
      <c r="W36" s="12">
        <f t="shared" si="32"/>
        <v>303689214.79331684</v>
      </c>
      <c r="X36" s="12">
        <f t="shared" si="32"/>
        <v>659383673.4881209</v>
      </c>
      <c r="Y36" s="12">
        <f t="shared" si="32"/>
        <v>1488742807.9150045</v>
      </c>
      <c r="Z36" s="12">
        <f t="shared" si="32"/>
        <v>3489306174.432342</v>
      </c>
      <c r="AA36" s="12">
        <f t="shared" si="32"/>
        <v>8481946884.937163</v>
      </c>
      <c r="AB36" s="12">
        <f t="shared" si="32"/>
        <v>21373813881.579315</v>
      </c>
      <c r="AC36" s="12">
        <f t="shared" si="32"/>
        <v>55820883856.60495</v>
      </c>
      <c r="AD36" s="12">
        <f t="shared" si="32"/>
        <v>151074731587.25354</v>
      </c>
    </row>
    <row r="37" spans="1:30" ht="12.75">
      <c r="A37" s="139" t="s">
        <v>83</v>
      </c>
      <c r="B37" s="5"/>
      <c r="C37" s="94">
        <f>6000000</f>
        <v>6000000</v>
      </c>
      <c r="D37" s="94">
        <f aca="true" t="shared" si="33" ref="D37:AD37">6000000</f>
        <v>6000000</v>
      </c>
      <c r="E37" s="94">
        <f t="shared" si="33"/>
        <v>6000000</v>
      </c>
      <c r="F37" s="94">
        <f t="shared" si="33"/>
        <v>6000000</v>
      </c>
      <c r="G37" s="94">
        <f t="shared" si="33"/>
        <v>6000000</v>
      </c>
      <c r="H37" s="94">
        <f t="shared" si="33"/>
        <v>6000000</v>
      </c>
      <c r="I37" s="94">
        <f t="shared" si="33"/>
        <v>6000000</v>
      </c>
      <c r="J37" s="94">
        <f t="shared" si="33"/>
        <v>6000000</v>
      </c>
      <c r="K37" s="94">
        <f t="shared" si="33"/>
        <v>6000000</v>
      </c>
      <c r="L37" s="94">
        <f t="shared" si="33"/>
        <v>6000000</v>
      </c>
      <c r="M37" s="94">
        <f t="shared" si="33"/>
        <v>6000000</v>
      </c>
      <c r="N37" s="94">
        <f t="shared" si="33"/>
        <v>6000000</v>
      </c>
      <c r="O37" s="94">
        <f t="shared" si="33"/>
        <v>6000000</v>
      </c>
      <c r="P37" s="94">
        <f t="shared" si="33"/>
        <v>6000000</v>
      </c>
      <c r="Q37" s="160">
        <f t="shared" si="33"/>
        <v>6000000</v>
      </c>
      <c r="R37" s="121">
        <f t="shared" si="33"/>
        <v>6000000</v>
      </c>
      <c r="S37" s="6">
        <f t="shared" si="33"/>
        <v>6000000</v>
      </c>
      <c r="T37" s="6">
        <f t="shared" si="33"/>
        <v>6000000</v>
      </c>
      <c r="U37" s="6">
        <f t="shared" si="33"/>
        <v>6000000</v>
      </c>
      <c r="V37" s="6">
        <f t="shared" si="33"/>
        <v>6000000</v>
      </c>
      <c r="W37" s="6">
        <f t="shared" si="33"/>
        <v>6000000</v>
      </c>
      <c r="X37" s="6">
        <f t="shared" si="33"/>
        <v>6000000</v>
      </c>
      <c r="Y37" s="6">
        <f t="shared" si="33"/>
        <v>6000000</v>
      </c>
      <c r="Z37" s="6">
        <f t="shared" si="33"/>
        <v>6000000</v>
      </c>
      <c r="AA37" s="6">
        <f t="shared" si="33"/>
        <v>6000000</v>
      </c>
      <c r="AB37" s="6">
        <f t="shared" si="33"/>
        <v>6000000</v>
      </c>
      <c r="AC37" s="6">
        <f t="shared" si="33"/>
        <v>6000000</v>
      </c>
      <c r="AD37" s="6">
        <f t="shared" si="33"/>
        <v>6000000</v>
      </c>
    </row>
    <row r="38" spans="1:30" ht="12.75">
      <c r="A38" s="139" t="s">
        <v>84</v>
      </c>
      <c r="B38" s="6">
        <v>280000</v>
      </c>
      <c r="C38" s="94">
        <f>6*280000</f>
        <v>1680000</v>
      </c>
      <c r="D38" s="94">
        <f aca="true" t="shared" si="34" ref="D38:AD38">6*280000</f>
        <v>1680000</v>
      </c>
      <c r="E38" s="94">
        <f t="shared" si="34"/>
        <v>1680000</v>
      </c>
      <c r="F38" s="94">
        <f t="shared" si="34"/>
        <v>1680000</v>
      </c>
      <c r="G38" s="94">
        <f t="shared" si="34"/>
        <v>1680000</v>
      </c>
      <c r="H38" s="94">
        <f t="shared" si="34"/>
        <v>1680000</v>
      </c>
      <c r="I38" s="94">
        <f t="shared" si="34"/>
        <v>1680000</v>
      </c>
      <c r="J38" s="94">
        <f t="shared" si="34"/>
        <v>1680000</v>
      </c>
      <c r="K38" s="94">
        <f t="shared" si="34"/>
        <v>1680000</v>
      </c>
      <c r="L38" s="94">
        <f t="shared" si="34"/>
        <v>1680000</v>
      </c>
      <c r="M38" s="94">
        <f t="shared" si="34"/>
        <v>1680000</v>
      </c>
      <c r="N38" s="94">
        <f t="shared" si="34"/>
        <v>1680000</v>
      </c>
      <c r="O38" s="94">
        <f t="shared" si="34"/>
        <v>1680000</v>
      </c>
      <c r="P38" s="94">
        <f t="shared" si="34"/>
        <v>1680000</v>
      </c>
      <c r="Q38" s="160">
        <f t="shared" si="34"/>
        <v>1680000</v>
      </c>
      <c r="R38" s="121">
        <f t="shared" si="34"/>
        <v>1680000</v>
      </c>
      <c r="S38" s="6">
        <f t="shared" si="34"/>
        <v>1680000</v>
      </c>
      <c r="T38" s="6">
        <f t="shared" si="34"/>
        <v>1680000</v>
      </c>
      <c r="U38" s="6">
        <f t="shared" si="34"/>
        <v>1680000</v>
      </c>
      <c r="V38" s="6">
        <f t="shared" si="34"/>
        <v>1680000</v>
      </c>
      <c r="W38" s="6">
        <f t="shared" si="34"/>
        <v>1680000</v>
      </c>
      <c r="X38" s="6">
        <f t="shared" si="34"/>
        <v>1680000</v>
      </c>
      <c r="Y38" s="6">
        <f t="shared" si="34"/>
        <v>1680000</v>
      </c>
      <c r="Z38" s="6">
        <f t="shared" si="34"/>
        <v>1680000</v>
      </c>
      <c r="AA38" s="6">
        <f t="shared" si="34"/>
        <v>1680000</v>
      </c>
      <c r="AB38" s="6">
        <f t="shared" si="34"/>
        <v>1680000</v>
      </c>
      <c r="AC38" s="6">
        <f t="shared" si="34"/>
        <v>1680000</v>
      </c>
      <c r="AD38" s="6">
        <f t="shared" si="34"/>
        <v>1680000</v>
      </c>
    </row>
    <row r="39" spans="1:30" ht="12.75">
      <c r="A39" s="139" t="s">
        <v>85</v>
      </c>
      <c r="B39" s="6">
        <v>0</v>
      </c>
      <c r="C39" s="94">
        <v>3850000</v>
      </c>
      <c r="D39" s="94">
        <v>3850000</v>
      </c>
      <c r="E39" s="94">
        <v>3850000</v>
      </c>
      <c r="F39" s="94">
        <v>3850000</v>
      </c>
      <c r="G39" s="94">
        <v>3850000</v>
      </c>
      <c r="H39" s="94">
        <v>7700000</v>
      </c>
      <c r="I39" s="94">
        <v>7700000</v>
      </c>
      <c r="J39" s="94">
        <v>7700000</v>
      </c>
      <c r="K39" s="94">
        <v>7700000</v>
      </c>
      <c r="L39" s="94">
        <v>7700000</v>
      </c>
      <c r="M39" s="94">
        <v>7700000</v>
      </c>
      <c r="N39" s="94">
        <v>7700000</v>
      </c>
      <c r="O39" s="94">
        <v>7700000</v>
      </c>
      <c r="P39" s="94">
        <v>7700000</v>
      </c>
      <c r="Q39" s="160">
        <v>7700000</v>
      </c>
      <c r="R39" s="69">
        <v>7700000</v>
      </c>
      <c r="S39" s="12">
        <v>7700000</v>
      </c>
      <c r="T39" s="12">
        <v>7700000</v>
      </c>
      <c r="U39" s="12">
        <v>7700000</v>
      </c>
      <c r="V39" s="12">
        <v>7700000</v>
      </c>
      <c r="W39" s="12">
        <v>7700000</v>
      </c>
      <c r="X39" s="12">
        <v>7700000</v>
      </c>
      <c r="Y39" s="12">
        <v>7700000</v>
      </c>
      <c r="Z39" s="12">
        <v>7700000</v>
      </c>
      <c r="AA39" s="12">
        <v>7700000</v>
      </c>
      <c r="AB39" s="12">
        <v>7700000</v>
      </c>
      <c r="AC39" s="12">
        <v>7700000</v>
      </c>
      <c r="AD39" s="12">
        <v>7700000</v>
      </c>
    </row>
    <row r="40" spans="1:30" ht="12.75">
      <c r="A40" s="139" t="s">
        <v>86</v>
      </c>
      <c r="B40" s="6"/>
      <c r="C40" s="94">
        <v>12000000</v>
      </c>
      <c r="D40" s="94">
        <f>+C40*1.02</f>
        <v>12240000</v>
      </c>
      <c r="E40" s="94">
        <f aca="true" t="shared" si="35" ref="E40:AD40">+D40*1.02</f>
        <v>12484800</v>
      </c>
      <c r="F40" s="94">
        <f t="shared" si="35"/>
        <v>12734496</v>
      </c>
      <c r="G40" s="94">
        <f t="shared" si="35"/>
        <v>12989185.92</v>
      </c>
      <c r="H40" s="94">
        <f t="shared" si="35"/>
        <v>13248969.6384</v>
      </c>
      <c r="I40" s="94">
        <f t="shared" si="35"/>
        <v>13513949.031167999</v>
      </c>
      <c r="J40" s="94">
        <f t="shared" si="35"/>
        <v>13784228.01179136</v>
      </c>
      <c r="K40" s="94">
        <f t="shared" si="35"/>
        <v>14059912.572027188</v>
      </c>
      <c r="L40" s="94">
        <f t="shared" si="35"/>
        <v>14341110.823467731</v>
      </c>
      <c r="M40" s="94">
        <f t="shared" si="35"/>
        <v>14627933.039937086</v>
      </c>
      <c r="N40" s="94">
        <f t="shared" si="35"/>
        <v>14920491.700735828</v>
      </c>
      <c r="O40" s="94">
        <f t="shared" si="35"/>
        <v>15218901.534750545</v>
      </c>
      <c r="P40" s="94">
        <f t="shared" si="35"/>
        <v>15523279.565445557</v>
      </c>
      <c r="Q40" s="160">
        <f t="shared" si="35"/>
        <v>15833745.15675447</v>
      </c>
      <c r="R40" s="121">
        <f t="shared" si="35"/>
        <v>16150420.059889559</v>
      </c>
      <c r="S40" s="6">
        <f t="shared" si="35"/>
        <v>16473428.46108735</v>
      </c>
      <c r="T40" s="6">
        <f t="shared" si="35"/>
        <v>16802897.030309096</v>
      </c>
      <c r="U40" s="6">
        <f t="shared" si="35"/>
        <v>17138954.970915277</v>
      </c>
      <c r="V40" s="6">
        <f t="shared" si="35"/>
        <v>17481734.07033358</v>
      </c>
      <c r="W40" s="6">
        <f t="shared" si="35"/>
        <v>17831368.751740254</v>
      </c>
      <c r="X40" s="6">
        <f t="shared" si="35"/>
        <v>18187996.12677506</v>
      </c>
      <c r="Y40" s="6">
        <f t="shared" si="35"/>
        <v>18551756.04931056</v>
      </c>
      <c r="Z40" s="6">
        <f t="shared" si="35"/>
        <v>18922791.170296773</v>
      </c>
      <c r="AA40" s="6">
        <f t="shared" si="35"/>
        <v>19301246.99370271</v>
      </c>
      <c r="AB40" s="6">
        <f t="shared" si="35"/>
        <v>19687271.933576763</v>
      </c>
      <c r="AC40" s="6">
        <f t="shared" si="35"/>
        <v>20081017.3722483</v>
      </c>
      <c r="AD40" s="6">
        <f t="shared" si="35"/>
        <v>20482637.719693266</v>
      </c>
    </row>
    <row r="41" spans="1:30" s="4" customFormat="1" ht="12.75">
      <c r="A41" s="33" t="s">
        <v>87</v>
      </c>
      <c r="B41" s="34">
        <f>+SUM(B33:B40)</f>
        <v>16042433.8</v>
      </c>
      <c r="C41" s="161">
        <f>+SUM(C33:C40)</f>
        <v>554172769.5875</v>
      </c>
      <c r="D41" s="161">
        <f aca="true" t="shared" si="36" ref="D41:P41">+SUM(D33:D40)</f>
        <v>165707478.45</v>
      </c>
      <c r="E41" s="161">
        <f t="shared" si="36"/>
        <v>80142119.56666668</v>
      </c>
      <c r="F41" s="161">
        <f t="shared" si="36"/>
        <v>47149851.849999994</v>
      </c>
      <c r="G41" s="161">
        <f t="shared" si="36"/>
        <v>48920224.645</v>
      </c>
      <c r="H41" s="161">
        <f t="shared" si="36"/>
        <v>55335083.46965</v>
      </c>
      <c r="I41" s="161">
        <f t="shared" si="36"/>
        <v>57950318.335980505</v>
      </c>
      <c r="J41" s="161">
        <f t="shared" si="36"/>
        <v>60618292.17584449</v>
      </c>
      <c r="K41" s="161">
        <f t="shared" si="36"/>
        <v>63341482.950282976</v>
      </c>
      <c r="L41" s="161">
        <f t="shared" si="36"/>
        <v>66122489.33863631</v>
      </c>
      <c r="M41" s="161">
        <f t="shared" si="36"/>
        <v>68966933.45086409</v>
      </c>
      <c r="N41" s="161">
        <f t="shared" si="36"/>
        <v>71874776.87720919</v>
      </c>
      <c r="O41" s="161">
        <f t="shared" si="36"/>
        <v>74849017.49004757</v>
      </c>
      <c r="P41" s="161">
        <f t="shared" si="36"/>
        <v>77892799.61350743</v>
      </c>
      <c r="Q41" s="162">
        <f>+SUM(Q34:Q39)</f>
        <v>65048473.348061875</v>
      </c>
      <c r="R41" s="72">
        <f aca="true" t="shared" si="37" ref="R41:AD41">+SUM(R34:R39)</f>
        <v>54605373.12767276</v>
      </c>
      <c r="S41" s="35">
        <f t="shared" si="37"/>
        <v>64370737.886835806</v>
      </c>
      <c r="T41" s="35">
        <f t="shared" si="37"/>
        <v>82421744.05135727</v>
      </c>
      <c r="U41" s="35">
        <f t="shared" si="37"/>
        <v>117946223.78849146</v>
      </c>
      <c r="V41" s="35">
        <f t="shared" si="37"/>
        <v>191487225.41200253</v>
      </c>
      <c r="W41" s="35">
        <f t="shared" si="37"/>
        <v>350389513.9865896</v>
      </c>
      <c r="X41" s="35">
        <f t="shared" si="37"/>
        <v>707164132.6813937</v>
      </c>
      <c r="Y41" s="35">
        <f t="shared" si="37"/>
        <v>1537603427.1082773</v>
      </c>
      <c r="Z41" s="35">
        <f t="shared" si="37"/>
        <v>3539246953.6256146</v>
      </c>
      <c r="AA41" s="35">
        <f t="shared" si="37"/>
        <v>8532967824.130436</v>
      </c>
      <c r="AB41" s="35">
        <f t="shared" si="37"/>
        <v>21425914980.772587</v>
      </c>
      <c r="AC41" s="35">
        <f t="shared" si="37"/>
        <v>55874065115.798225</v>
      </c>
      <c r="AD41" s="35">
        <f t="shared" si="37"/>
        <v>151128993006.4468</v>
      </c>
    </row>
    <row r="42" spans="1:30" s="4" customFormat="1" ht="12.75" hidden="1">
      <c r="A42" s="33" t="s">
        <v>52</v>
      </c>
      <c r="B42" s="34"/>
      <c r="C42" s="161">
        <f>SUM(C34:C40)</f>
        <v>40806339.5875</v>
      </c>
      <c r="D42" s="161">
        <f aca="true" t="shared" si="38" ref="D42:P42">SUM(D34:D40)</f>
        <v>43744978.45</v>
      </c>
      <c r="E42" s="161">
        <f t="shared" si="38"/>
        <v>45425452.900000006</v>
      </c>
      <c r="F42" s="161">
        <f t="shared" si="38"/>
        <v>47149851.849999994</v>
      </c>
      <c r="G42" s="161">
        <f t="shared" si="38"/>
        <v>48920224.645</v>
      </c>
      <c r="H42" s="161">
        <f t="shared" si="38"/>
        <v>55335083.46965</v>
      </c>
      <c r="I42" s="161">
        <f t="shared" si="38"/>
        <v>57950318.335980505</v>
      </c>
      <c r="J42" s="161">
        <f t="shared" si="38"/>
        <v>60618292.17584449</v>
      </c>
      <c r="K42" s="161">
        <f t="shared" si="38"/>
        <v>63341482.950282976</v>
      </c>
      <c r="L42" s="161">
        <f t="shared" si="38"/>
        <v>66122489.33863631</v>
      </c>
      <c r="M42" s="161">
        <f t="shared" si="38"/>
        <v>68966933.45086409</v>
      </c>
      <c r="N42" s="161">
        <f t="shared" si="38"/>
        <v>71874776.87720919</v>
      </c>
      <c r="O42" s="161">
        <f t="shared" si="38"/>
        <v>74849017.49004757</v>
      </c>
      <c r="P42" s="161">
        <f t="shared" si="38"/>
        <v>77892799.61350743</v>
      </c>
      <c r="Q42" s="162"/>
      <c r="R42" s="108"/>
      <c r="S42" s="109"/>
      <c r="T42" s="109"/>
      <c r="U42" s="109"/>
      <c r="V42" s="109"/>
      <c r="W42" s="109"/>
      <c r="X42" s="109"/>
      <c r="Y42" s="109"/>
      <c r="Z42" s="109"/>
      <c r="AA42" s="109"/>
      <c r="AB42" s="110"/>
      <c r="AC42" s="110"/>
      <c r="AD42" s="110"/>
    </row>
    <row r="43" spans="1:27" ht="12.75">
      <c r="A43" s="139" t="s">
        <v>88</v>
      </c>
      <c r="B43" s="6">
        <f>+'CALCUL_ANNUITE ENSEMBLE'!$G$6</f>
        <v>75374635.74470927</v>
      </c>
      <c r="C43" s="94">
        <f>+'CALCUL_ANNUITE ENSEMBLE'!$G$6</f>
        <v>75374635.74470927</v>
      </c>
      <c r="D43" s="94">
        <f>+'CALCUL_ANNUITE ENSEMBLE'!$G$6</f>
        <v>75374635.74470927</v>
      </c>
      <c r="E43" s="94">
        <f>+'CALCUL_ANNUITE ENSEMBLE'!$G$6</f>
        <v>75374635.74470927</v>
      </c>
      <c r="F43" s="94">
        <f>+'CALCUL_ANNUITE ENSEMBLE'!$G$6</f>
        <v>75374635.74470927</v>
      </c>
      <c r="G43" s="94">
        <f>+'CALCUL_ANNUITE ENSEMBLE'!$G$6</f>
        <v>75374635.74470927</v>
      </c>
      <c r="H43" s="94">
        <f>+'CALCUL_ANNUITE ENSEMBLE'!$G$6</f>
        <v>75374635.74470927</v>
      </c>
      <c r="I43" s="94">
        <f>+'CALCUL_ANNUITE ENSEMBLE'!$G$6</f>
        <v>75374635.74470927</v>
      </c>
      <c r="J43" s="94">
        <f>+'CALCUL_ANNUITE ENSEMBLE'!$G$6</f>
        <v>75374635.74470927</v>
      </c>
      <c r="K43" s="94">
        <f>+'CALCUL_ANNUITE ENSEMBLE'!$G$6</f>
        <v>75374635.74470927</v>
      </c>
      <c r="L43" s="94">
        <f>+'CALCUL_ANNUITE ENSEMBLE'!$G$6</f>
        <v>75374635.74470927</v>
      </c>
      <c r="M43" s="94">
        <f>+'CALCUL_ANNUITE ENSEMBLE'!$G$6</f>
        <v>75374635.74470927</v>
      </c>
      <c r="N43" s="94">
        <f>+'CALCUL_ANNUITE ENSEMBLE'!$G$6</f>
        <v>75374635.74470927</v>
      </c>
      <c r="O43" s="94">
        <f>+'CALCUL_ANNUITE ENSEMBLE'!$G$6</f>
        <v>75374635.74470927</v>
      </c>
      <c r="P43" s="94">
        <f>+'CALCUL_ANNUITE ENSEMBLE'!$G$6</f>
        <v>75374635.74470927</v>
      </c>
      <c r="Q43" s="160">
        <f>+'CALCUL_ANNUITE ENSEMBLE'!$G$6</f>
        <v>75374635.74470927</v>
      </c>
      <c r="R43" s="122"/>
      <c r="S43" s="79"/>
      <c r="T43" s="79"/>
      <c r="U43" s="79"/>
      <c r="V43" s="79"/>
      <c r="W43" s="79"/>
      <c r="X43" s="79"/>
      <c r="Y43" s="79"/>
      <c r="Z43" s="79"/>
      <c r="AA43" s="79"/>
    </row>
    <row r="44" spans="1:30" s="4" customFormat="1" ht="12.75">
      <c r="A44" s="33" t="s">
        <v>3</v>
      </c>
      <c r="B44" s="36">
        <f>+B43</f>
        <v>75374635.74470927</v>
      </c>
      <c r="C44" s="161">
        <f aca="true" t="shared" si="39" ref="C44:Q44">+C43</f>
        <v>75374635.74470927</v>
      </c>
      <c r="D44" s="161">
        <f t="shared" si="39"/>
        <v>75374635.74470927</v>
      </c>
      <c r="E44" s="161">
        <f t="shared" si="39"/>
        <v>75374635.74470927</v>
      </c>
      <c r="F44" s="161">
        <f t="shared" si="39"/>
        <v>75374635.74470927</v>
      </c>
      <c r="G44" s="161">
        <f t="shared" si="39"/>
        <v>75374635.74470927</v>
      </c>
      <c r="H44" s="161">
        <f t="shared" si="39"/>
        <v>75374635.74470927</v>
      </c>
      <c r="I44" s="161">
        <f t="shared" si="39"/>
        <v>75374635.74470927</v>
      </c>
      <c r="J44" s="161">
        <f t="shared" si="39"/>
        <v>75374635.74470927</v>
      </c>
      <c r="K44" s="161">
        <f t="shared" si="39"/>
        <v>75374635.74470927</v>
      </c>
      <c r="L44" s="161">
        <f t="shared" si="39"/>
        <v>75374635.74470927</v>
      </c>
      <c r="M44" s="161">
        <f t="shared" si="39"/>
        <v>75374635.74470927</v>
      </c>
      <c r="N44" s="161">
        <f t="shared" si="39"/>
        <v>75374635.74470927</v>
      </c>
      <c r="O44" s="161">
        <f t="shared" si="39"/>
        <v>75374635.74470927</v>
      </c>
      <c r="P44" s="161">
        <f t="shared" si="39"/>
        <v>75374635.74470927</v>
      </c>
      <c r="Q44" s="162">
        <f t="shared" si="39"/>
        <v>75374635.74470927</v>
      </c>
      <c r="R44" s="123">
        <f aca="true" t="shared" si="40" ref="R44:AD44">+R43</f>
        <v>0</v>
      </c>
      <c r="S44" s="80">
        <f t="shared" si="40"/>
        <v>0</v>
      </c>
      <c r="T44" s="80">
        <f t="shared" si="40"/>
        <v>0</v>
      </c>
      <c r="U44" s="80">
        <f t="shared" si="40"/>
        <v>0</v>
      </c>
      <c r="V44" s="80">
        <f t="shared" si="40"/>
        <v>0</v>
      </c>
      <c r="W44" s="80">
        <f t="shared" si="40"/>
        <v>0</v>
      </c>
      <c r="X44" s="80">
        <f t="shared" si="40"/>
        <v>0</v>
      </c>
      <c r="Y44" s="80">
        <f t="shared" si="40"/>
        <v>0</v>
      </c>
      <c r="Z44" s="80">
        <f t="shared" si="40"/>
        <v>0</v>
      </c>
      <c r="AA44" s="80">
        <f t="shared" si="40"/>
        <v>0</v>
      </c>
      <c r="AB44" s="80">
        <f t="shared" si="40"/>
        <v>0</v>
      </c>
      <c r="AC44" s="80">
        <f t="shared" si="40"/>
        <v>0</v>
      </c>
      <c r="AD44" s="80">
        <f t="shared" si="40"/>
        <v>0</v>
      </c>
    </row>
    <row r="45" spans="1:30" ht="12.75">
      <c r="A45" s="139" t="s">
        <v>89</v>
      </c>
      <c r="B45" s="6">
        <f>+B31*0.1</f>
        <v>0</v>
      </c>
      <c r="C45" s="94">
        <f>+C31*0.1</f>
        <v>6298425</v>
      </c>
      <c r="D45" s="94">
        <f aca="true" t="shared" si="41" ref="D45:AD45">+D31*0.1</f>
        <v>9637269</v>
      </c>
      <c r="E45" s="94">
        <f t="shared" si="41"/>
        <v>10815292</v>
      </c>
      <c r="F45" s="94">
        <f t="shared" si="41"/>
        <v>11993315</v>
      </c>
      <c r="G45" s="94">
        <f t="shared" si="41"/>
        <v>13171338</v>
      </c>
      <c r="H45" s="94">
        <f t="shared" si="41"/>
        <v>15669544.8</v>
      </c>
      <c r="I45" s="94">
        <f t="shared" si="41"/>
        <v>18167751.6</v>
      </c>
      <c r="J45" s="94">
        <f t="shared" si="41"/>
        <v>20665958.400000002</v>
      </c>
      <c r="K45" s="94">
        <f t="shared" si="41"/>
        <v>22997287.200000003</v>
      </c>
      <c r="L45" s="94">
        <f t="shared" si="41"/>
        <v>25662372</v>
      </c>
      <c r="M45" s="94">
        <f t="shared" si="41"/>
        <v>28326012</v>
      </c>
      <c r="N45" s="94">
        <f t="shared" si="41"/>
        <v>30989652</v>
      </c>
      <c r="O45" s="94">
        <f t="shared" si="41"/>
        <v>33653292</v>
      </c>
      <c r="P45" s="94">
        <f t="shared" si="41"/>
        <v>36316932</v>
      </c>
      <c r="Q45" s="160">
        <f t="shared" si="41"/>
        <v>38599512</v>
      </c>
      <c r="R45" s="69">
        <f t="shared" si="41"/>
        <v>27795426.854206033</v>
      </c>
      <c r="S45" s="12">
        <f t="shared" si="41"/>
        <v>41922708.05046296</v>
      </c>
      <c r="T45" s="12">
        <f t="shared" si="41"/>
        <v>69106151.46122405</v>
      </c>
      <c r="U45" s="12">
        <f t="shared" si="41"/>
        <v>123823553.22882944</v>
      </c>
      <c r="V45" s="12">
        <f t="shared" si="41"/>
        <v>238445777.3628469</v>
      </c>
      <c r="W45" s="12">
        <f t="shared" si="41"/>
        <v>487576696.08643866</v>
      </c>
      <c r="X45" s="12">
        <f t="shared" si="41"/>
        <v>1048506438.0297666</v>
      </c>
      <c r="Y45" s="12">
        <f t="shared" si="41"/>
        <v>2355816881.126674</v>
      </c>
      <c r="Z45" s="12">
        <f t="shared" si="41"/>
        <v>5508661265.69945</v>
      </c>
      <c r="AA45" s="12">
        <f t="shared" si="41"/>
        <v>13376294192.313107</v>
      </c>
      <c r="AB45" s="12">
        <f t="shared" si="41"/>
        <v>33691192781.931046</v>
      </c>
      <c r="AC45" s="12">
        <f t="shared" si="41"/>
        <v>87971865761.72903</v>
      </c>
      <c r="AD45" s="12">
        <f t="shared" si="41"/>
        <v>238069279447.35706</v>
      </c>
    </row>
    <row r="46" spans="1:30" ht="12.75">
      <c r="A46" s="139" t="s">
        <v>90</v>
      </c>
      <c r="B46" s="7">
        <f>MAX(0,B50*0.24)</f>
        <v>0</v>
      </c>
      <c r="C46" s="94">
        <f aca="true" t="shared" si="42" ref="C46:AD46">MAX(0,C50*0.24)</f>
        <v>0</v>
      </c>
      <c r="D46" s="94">
        <f t="shared" si="42"/>
        <v>0</v>
      </c>
      <c r="E46" s="94">
        <f>MAX(0,E50*0.24)</f>
        <v>0</v>
      </c>
      <c r="F46" s="94">
        <f t="shared" si="42"/>
        <v>0</v>
      </c>
      <c r="G46" s="94">
        <f t="shared" si="42"/>
        <v>1780444.706469773</v>
      </c>
      <c r="H46" s="94">
        <f t="shared" si="42"/>
        <v>6236574.908553775</v>
      </c>
      <c r="I46" s="94">
        <f t="shared" si="42"/>
        <v>11604614.860634454</v>
      </c>
      <c r="J46" s="94">
        <f t="shared" si="42"/>
        <v>16959997.4590671</v>
      </c>
      <c r="K46" s="94">
        <f t="shared" si="42"/>
        <v>21901620.793201856</v>
      </c>
      <c r="L46" s="94">
        <f t="shared" si="42"/>
        <v>27630382.779997062</v>
      </c>
      <c r="M46" s="94">
        <f t="shared" si="42"/>
        <v>33340452.1930624</v>
      </c>
      <c r="N46" s="94">
        <f t="shared" si="42"/>
        <v>39035305.77073957</v>
      </c>
      <c r="O46" s="94">
        <f t="shared" si="42"/>
        <v>44714224.02365836</v>
      </c>
      <c r="P46" s="94">
        <f t="shared" si="42"/>
        <v>50376452.31402799</v>
      </c>
      <c r="Q46" s="160">
        <f t="shared" si="42"/>
        <v>58937282.61773493</v>
      </c>
      <c r="R46" s="73">
        <f t="shared" si="42"/>
        <v>53603734.899453014</v>
      </c>
      <c r="S46" s="7">
        <f t="shared" si="42"/>
        <v>85165522.22827052</v>
      </c>
      <c r="T46" s="7">
        <f t="shared" si="42"/>
        <v>146073544.93461195</v>
      </c>
      <c r="U46" s="7">
        <f t="shared" si="42"/>
        <v>268869434.0399527</v>
      </c>
      <c r="V46" s="7">
        <f t="shared" si="42"/>
        <v>526312931.5719519</v>
      </c>
      <c r="W46" s="7">
        <f t="shared" si="42"/>
        <v>1086090587.2506714</v>
      </c>
      <c r="X46" s="7">
        <f t="shared" si="42"/>
        <v>2346696059.4279046</v>
      </c>
      <c r="Y46" s="7">
        <f t="shared" si="42"/>
        <v>5284935692.19803</v>
      </c>
      <c r="Z46" s="7">
        <f t="shared" si="42"/>
        <v>12371367768.808529</v>
      </c>
      <c r="AA46" s="7">
        <f t="shared" si="42"/>
        <v>30055193783.76015</v>
      </c>
      <c r="AB46" s="7">
        <f t="shared" si="42"/>
        <v>75716643081.24908</v>
      </c>
      <c r="AC46" s="7">
        <f t="shared" si="42"/>
        <v>197722702200.3581</v>
      </c>
      <c r="AD46" s="7">
        <f t="shared" si="42"/>
        <v>535095312352.1096</v>
      </c>
    </row>
    <row r="47" spans="1:30" s="4" customFormat="1" ht="12.75">
      <c r="A47" s="33" t="s">
        <v>4</v>
      </c>
      <c r="B47" s="36">
        <f aca="true" t="shared" si="43" ref="B47:AD47">SUM(B45:B46)</f>
        <v>0</v>
      </c>
      <c r="C47" s="161">
        <f t="shared" si="43"/>
        <v>6298425</v>
      </c>
      <c r="D47" s="161">
        <f t="shared" si="43"/>
        <v>9637269</v>
      </c>
      <c r="E47" s="161">
        <f t="shared" si="43"/>
        <v>10815292</v>
      </c>
      <c r="F47" s="161">
        <f t="shared" si="43"/>
        <v>11993315</v>
      </c>
      <c r="G47" s="161">
        <f t="shared" si="43"/>
        <v>14951782.706469772</v>
      </c>
      <c r="H47" s="161">
        <f t="shared" si="43"/>
        <v>21906119.708553776</v>
      </c>
      <c r="I47" s="161">
        <f t="shared" si="43"/>
        <v>29772366.460634455</v>
      </c>
      <c r="J47" s="161">
        <f t="shared" si="43"/>
        <v>37625955.8590671</v>
      </c>
      <c r="K47" s="161">
        <f t="shared" si="43"/>
        <v>44898907.99320186</v>
      </c>
      <c r="L47" s="161">
        <f t="shared" si="43"/>
        <v>53292754.779997066</v>
      </c>
      <c r="M47" s="161">
        <f t="shared" si="43"/>
        <v>61666464.193062395</v>
      </c>
      <c r="N47" s="161">
        <f t="shared" si="43"/>
        <v>70024957.77073957</v>
      </c>
      <c r="O47" s="161">
        <f t="shared" si="43"/>
        <v>78367516.02365837</v>
      </c>
      <c r="P47" s="161">
        <f t="shared" si="43"/>
        <v>86693384.314028</v>
      </c>
      <c r="Q47" s="162">
        <f t="shared" si="43"/>
        <v>97536794.61773494</v>
      </c>
      <c r="R47" s="74">
        <f t="shared" si="43"/>
        <v>81399161.75365904</v>
      </c>
      <c r="S47" s="36">
        <f t="shared" si="43"/>
        <v>127088230.27873348</v>
      </c>
      <c r="T47" s="36">
        <f t="shared" si="43"/>
        <v>215179696.395836</v>
      </c>
      <c r="U47" s="36">
        <f t="shared" si="43"/>
        <v>392692987.26878214</v>
      </c>
      <c r="V47" s="36">
        <f t="shared" si="43"/>
        <v>764758708.9347988</v>
      </c>
      <c r="W47" s="36">
        <f t="shared" si="43"/>
        <v>1573667283.33711</v>
      </c>
      <c r="X47" s="36">
        <f t="shared" si="43"/>
        <v>3395202497.457671</v>
      </c>
      <c r="Y47" s="36">
        <f t="shared" si="43"/>
        <v>7640752573.324705</v>
      </c>
      <c r="Z47" s="36">
        <f t="shared" si="43"/>
        <v>17880029034.50798</v>
      </c>
      <c r="AA47" s="36">
        <f t="shared" si="43"/>
        <v>43431487976.07326</v>
      </c>
      <c r="AB47" s="36">
        <f t="shared" si="43"/>
        <v>109407835863.18013</v>
      </c>
      <c r="AC47" s="36">
        <f t="shared" si="43"/>
        <v>285694567962.08716</v>
      </c>
      <c r="AD47" s="36">
        <f t="shared" si="43"/>
        <v>773164591799.4667</v>
      </c>
    </row>
    <row r="48" spans="1:31" s="4" customFormat="1" ht="13.5" thickBot="1">
      <c r="A48" s="37" t="s">
        <v>5</v>
      </c>
      <c r="B48" s="38">
        <f aca="true" t="shared" si="44" ref="B48:AD48">B41+B44+B47</f>
        <v>91417069.54470927</v>
      </c>
      <c r="C48" s="163">
        <f t="shared" si="44"/>
        <v>635845830.3322092</v>
      </c>
      <c r="D48" s="163">
        <f t="shared" si="44"/>
        <v>250719383.19470924</v>
      </c>
      <c r="E48" s="163">
        <f t="shared" si="44"/>
        <v>166332047.31137595</v>
      </c>
      <c r="F48" s="163">
        <f t="shared" si="44"/>
        <v>134517802.59470928</v>
      </c>
      <c r="G48" s="163">
        <f t="shared" si="44"/>
        <v>139246643.09617904</v>
      </c>
      <c r="H48" s="163">
        <f t="shared" si="44"/>
        <v>152615838.92291304</v>
      </c>
      <c r="I48" s="163">
        <f t="shared" si="44"/>
        <v>163097320.54132423</v>
      </c>
      <c r="J48" s="163">
        <f t="shared" si="44"/>
        <v>173618883.77962083</v>
      </c>
      <c r="K48" s="163">
        <f t="shared" si="44"/>
        <v>183615026.6881941</v>
      </c>
      <c r="L48" s="163">
        <f t="shared" si="44"/>
        <v>194789879.86334264</v>
      </c>
      <c r="M48" s="163">
        <f t="shared" si="44"/>
        <v>206008033.38863575</v>
      </c>
      <c r="N48" s="163">
        <f t="shared" si="44"/>
        <v>217274370.392658</v>
      </c>
      <c r="O48" s="163">
        <f t="shared" si="44"/>
        <v>228591169.2584152</v>
      </c>
      <c r="P48" s="163">
        <f t="shared" si="44"/>
        <v>239960819.6722447</v>
      </c>
      <c r="Q48" s="164">
        <f t="shared" si="44"/>
        <v>237959903.71050608</v>
      </c>
      <c r="R48" s="75">
        <f t="shared" si="44"/>
        <v>136004534.8813318</v>
      </c>
      <c r="S48" s="38">
        <f t="shared" si="44"/>
        <v>191458968.16556928</v>
      </c>
      <c r="T48" s="38">
        <f t="shared" si="44"/>
        <v>297601440.44719326</v>
      </c>
      <c r="U48" s="38">
        <f t="shared" si="44"/>
        <v>510639211.0572736</v>
      </c>
      <c r="V48" s="38">
        <f t="shared" si="44"/>
        <v>956245934.3468014</v>
      </c>
      <c r="W48" s="38">
        <f t="shared" si="44"/>
        <v>1924056797.3236997</v>
      </c>
      <c r="X48" s="38">
        <f t="shared" si="44"/>
        <v>4102366630.139065</v>
      </c>
      <c r="Y48" s="38">
        <f t="shared" si="44"/>
        <v>9178356000.432983</v>
      </c>
      <c r="Z48" s="38">
        <f t="shared" si="44"/>
        <v>21419275988.133595</v>
      </c>
      <c r="AA48" s="38">
        <f t="shared" si="44"/>
        <v>51964455800.20369</v>
      </c>
      <c r="AB48" s="38">
        <f t="shared" si="44"/>
        <v>130833750843.95271</v>
      </c>
      <c r="AC48" s="38">
        <f t="shared" si="44"/>
        <v>341568633077.8854</v>
      </c>
      <c r="AD48" s="38">
        <f t="shared" si="44"/>
        <v>924293584805.9135</v>
      </c>
      <c r="AE48" s="107">
        <f>AVERAGE(C48:P48)</f>
        <v>220445217.78832364</v>
      </c>
    </row>
    <row r="49" spans="1:31" s="4" customFormat="1" ht="12.75" hidden="1">
      <c r="A49" s="33" t="s">
        <v>52</v>
      </c>
      <c r="B49" s="111"/>
      <c r="C49" s="165">
        <f aca="true" t="shared" si="45" ref="C49:P49">C47+C44+C42</f>
        <v>122479400.33220926</v>
      </c>
      <c r="D49" s="165">
        <f t="shared" si="45"/>
        <v>128756883.19470927</v>
      </c>
      <c r="E49" s="165">
        <f t="shared" si="45"/>
        <v>131615380.64470927</v>
      </c>
      <c r="F49" s="165">
        <f t="shared" si="45"/>
        <v>134517802.59470928</v>
      </c>
      <c r="G49" s="165">
        <f t="shared" si="45"/>
        <v>139246643.09617904</v>
      </c>
      <c r="H49" s="165">
        <f t="shared" si="45"/>
        <v>152615838.92291304</v>
      </c>
      <c r="I49" s="165">
        <f t="shared" si="45"/>
        <v>163097320.54132423</v>
      </c>
      <c r="J49" s="165">
        <f t="shared" si="45"/>
        <v>173618883.77962086</v>
      </c>
      <c r="K49" s="165">
        <f t="shared" si="45"/>
        <v>183615026.6881941</v>
      </c>
      <c r="L49" s="165">
        <f t="shared" si="45"/>
        <v>194789879.86334264</v>
      </c>
      <c r="M49" s="165">
        <f t="shared" si="45"/>
        <v>206008033.38863575</v>
      </c>
      <c r="N49" s="165">
        <f t="shared" si="45"/>
        <v>217274370.39265803</v>
      </c>
      <c r="O49" s="165">
        <f t="shared" si="45"/>
        <v>228591169.25841522</v>
      </c>
      <c r="P49" s="165">
        <f t="shared" si="45"/>
        <v>239960819.67224473</v>
      </c>
      <c r="Q49" s="166"/>
      <c r="R49" s="112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07">
        <f>AVERAGE(C49:P49)</f>
        <v>172584818.02641886</v>
      </c>
    </row>
    <row r="50" spans="1:30" ht="12.75">
      <c r="A50" s="39" t="s">
        <v>6</v>
      </c>
      <c r="B50" s="40">
        <f aca="true" t="shared" si="46" ref="B50:AD50">B31-B41-B44</f>
        <v>-91417069.54470927</v>
      </c>
      <c r="C50" s="167">
        <f t="shared" si="46"/>
        <v>-566563155.3322092</v>
      </c>
      <c r="D50" s="167">
        <f t="shared" si="46"/>
        <v>-144709424.19470924</v>
      </c>
      <c r="E50" s="167">
        <f t="shared" si="46"/>
        <v>-47363835.311375946</v>
      </c>
      <c r="F50" s="167">
        <f t="shared" si="46"/>
        <v>-2591337.594709277</v>
      </c>
      <c r="G50" s="167">
        <f t="shared" si="46"/>
        <v>7418519.610290721</v>
      </c>
      <c r="H50" s="167">
        <f t="shared" si="46"/>
        <v>25985728.78564073</v>
      </c>
      <c r="I50" s="167">
        <f t="shared" si="46"/>
        <v>48352561.91931023</v>
      </c>
      <c r="J50" s="167">
        <f t="shared" si="46"/>
        <v>70666656.07944624</v>
      </c>
      <c r="K50" s="167">
        <f t="shared" si="46"/>
        <v>91256753.30500774</v>
      </c>
      <c r="L50" s="167">
        <f t="shared" si="46"/>
        <v>115126594.91665442</v>
      </c>
      <c r="M50" s="167">
        <f t="shared" si="46"/>
        <v>138918550.80442667</v>
      </c>
      <c r="N50" s="167">
        <f t="shared" si="46"/>
        <v>162647107.37808156</v>
      </c>
      <c r="O50" s="167">
        <f t="shared" si="46"/>
        <v>186309266.76524317</v>
      </c>
      <c r="P50" s="167">
        <f t="shared" si="46"/>
        <v>209901884.6417833</v>
      </c>
      <c r="Q50" s="168">
        <f t="shared" si="46"/>
        <v>245572010.9072289</v>
      </c>
      <c r="R50" s="76">
        <f t="shared" si="46"/>
        <v>223348895.41438755</v>
      </c>
      <c r="S50" s="41">
        <f t="shared" si="46"/>
        <v>354856342.6177938</v>
      </c>
      <c r="T50" s="41">
        <f t="shared" si="46"/>
        <v>608639770.5608832</v>
      </c>
      <c r="U50" s="41">
        <f t="shared" si="46"/>
        <v>1120289308.4998028</v>
      </c>
      <c r="V50" s="41">
        <f t="shared" si="46"/>
        <v>2192970548.2164664</v>
      </c>
      <c r="W50" s="41">
        <f t="shared" si="46"/>
        <v>4525377446.877797</v>
      </c>
      <c r="X50" s="41">
        <f t="shared" si="46"/>
        <v>9777900247.61627</v>
      </c>
      <c r="Y50" s="41">
        <f t="shared" si="46"/>
        <v>22020565384.158463</v>
      </c>
      <c r="Z50" s="41">
        <f t="shared" si="46"/>
        <v>51547365703.36887</v>
      </c>
      <c r="AA50" s="41">
        <f t="shared" si="46"/>
        <v>125229974099.00063</v>
      </c>
      <c r="AB50" s="41">
        <f t="shared" si="46"/>
        <v>315486012838.53784</v>
      </c>
      <c r="AC50" s="41">
        <f t="shared" si="46"/>
        <v>823844592501.4921</v>
      </c>
      <c r="AD50" s="41">
        <f t="shared" si="46"/>
        <v>2229563801467.1235</v>
      </c>
    </row>
    <row r="51" spans="1:30" ht="12.75">
      <c r="A51" s="10" t="s">
        <v>7</v>
      </c>
      <c r="B51" s="7">
        <f aca="true" t="shared" si="47" ref="B51:AD51">B31-B41-B47</f>
        <v>-16042433.8</v>
      </c>
      <c r="C51" s="94">
        <f t="shared" si="47"/>
        <v>-497486944.5875</v>
      </c>
      <c r="D51" s="94">
        <f t="shared" si="47"/>
        <v>-78972057.44999999</v>
      </c>
      <c r="E51" s="94">
        <f t="shared" si="47"/>
        <v>17195508.433333322</v>
      </c>
      <c r="F51" s="94">
        <f t="shared" si="47"/>
        <v>60789983.14999999</v>
      </c>
      <c r="G51" s="94">
        <f t="shared" si="47"/>
        <v>67841372.64853022</v>
      </c>
      <c r="H51" s="94">
        <f t="shared" si="47"/>
        <v>79454244.82179622</v>
      </c>
      <c r="I51" s="94">
        <f t="shared" si="47"/>
        <v>93954831.20338504</v>
      </c>
      <c r="J51" s="94">
        <f t="shared" si="47"/>
        <v>108415335.96508841</v>
      </c>
      <c r="K51" s="94">
        <f t="shared" si="47"/>
        <v>121732481.05651516</v>
      </c>
      <c r="L51" s="94">
        <f t="shared" si="47"/>
        <v>137208475.8813666</v>
      </c>
      <c r="M51" s="94">
        <f t="shared" si="47"/>
        <v>152626722.35607353</v>
      </c>
      <c r="N51" s="94">
        <f t="shared" si="47"/>
        <v>167996785.35205126</v>
      </c>
      <c r="O51" s="94">
        <f t="shared" si="47"/>
        <v>183316386.48629406</v>
      </c>
      <c r="P51" s="94">
        <f t="shared" si="47"/>
        <v>198583136.07246456</v>
      </c>
      <c r="Q51" s="160">
        <f t="shared" si="47"/>
        <v>223409852.0342032</v>
      </c>
      <c r="R51" s="73">
        <f t="shared" si="47"/>
        <v>141949733.6607285</v>
      </c>
      <c r="S51" s="7">
        <f t="shared" si="47"/>
        <v>227768112.3390603</v>
      </c>
      <c r="T51" s="7">
        <f t="shared" si="47"/>
        <v>393460074.16504717</v>
      </c>
      <c r="U51" s="7">
        <f t="shared" si="47"/>
        <v>727596321.2310207</v>
      </c>
      <c r="V51" s="7">
        <f t="shared" si="47"/>
        <v>1428211839.2816677</v>
      </c>
      <c r="W51" s="7">
        <f t="shared" si="47"/>
        <v>2951710163.540687</v>
      </c>
      <c r="X51" s="7">
        <f t="shared" si="47"/>
        <v>6382697750.158599</v>
      </c>
      <c r="Y51" s="7">
        <f t="shared" si="47"/>
        <v>14379812810.833757</v>
      </c>
      <c r="Z51" s="7">
        <f t="shared" si="47"/>
        <v>33667336668.860893</v>
      </c>
      <c r="AA51" s="7">
        <f t="shared" si="47"/>
        <v>81798486122.92737</v>
      </c>
      <c r="AB51" s="7">
        <f t="shared" si="47"/>
        <v>206078176975.35773</v>
      </c>
      <c r="AC51" s="7">
        <f t="shared" si="47"/>
        <v>538150024539.4049</v>
      </c>
      <c r="AD51" s="7">
        <f t="shared" si="47"/>
        <v>1456399209667.6567</v>
      </c>
    </row>
    <row r="52" spans="1:30" ht="12.75">
      <c r="A52" s="42" t="s">
        <v>8</v>
      </c>
      <c r="B52" s="43">
        <f>-162000000+B51</f>
        <v>-178042433.8</v>
      </c>
      <c r="C52" s="169">
        <f>+B52+C51</f>
        <v>-675529378.3875</v>
      </c>
      <c r="D52" s="169">
        <f aca="true" t="shared" si="48" ref="D52:AD52">+C52+D51</f>
        <v>-754501435.8375001</v>
      </c>
      <c r="E52" s="169">
        <f t="shared" si="48"/>
        <v>-737305927.4041668</v>
      </c>
      <c r="F52" s="169">
        <f t="shared" si="48"/>
        <v>-676515944.2541668</v>
      </c>
      <c r="G52" s="169">
        <f t="shared" si="48"/>
        <v>-608674571.6056366</v>
      </c>
      <c r="H52" s="169">
        <f t="shared" si="48"/>
        <v>-529220326.78384036</v>
      </c>
      <c r="I52" s="169">
        <f t="shared" si="48"/>
        <v>-435265495.5804553</v>
      </c>
      <c r="J52" s="169">
        <f t="shared" si="48"/>
        <v>-326850159.6153669</v>
      </c>
      <c r="K52" s="169">
        <f t="shared" si="48"/>
        <v>-205117678.55885172</v>
      </c>
      <c r="L52" s="169">
        <f t="shared" si="48"/>
        <v>-67909202.67748511</v>
      </c>
      <c r="M52" s="169">
        <f t="shared" si="48"/>
        <v>84717519.67858842</v>
      </c>
      <c r="N52" s="169">
        <f t="shared" si="48"/>
        <v>252714305.03063968</v>
      </c>
      <c r="O52" s="169">
        <f t="shared" si="48"/>
        <v>436030691.51693374</v>
      </c>
      <c r="P52" s="169">
        <f t="shared" si="48"/>
        <v>634613827.5893983</v>
      </c>
      <c r="Q52" s="170">
        <f t="shared" si="48"/>
        <v>858023679.6236014</v>
      </c>
      <c r="R52" s="77">
        <f t="shared" si="48"/>
        <v>999973413.2843299</v>
      </c>
      <c r="S52" s="43">
        <f t="shared" si="48"/>
        <v>1227741525.6233902</v>
      </c>
      <c r="T52" s="43">
        <f t="shared" si="48"/>
        <v>1621201599.7884374</v>
      </c>
      <c r="U52" s="43">
        <f t="shared" si="48"/>
        <v>2348797921.019458</v>
      </c>
      <c r="V52" s="43">
        <f t="shared" si="48"/>
        <v>3777009760.3011255</v>
      </c>
      <c r="W52" s="43">
        <f t="shared" si="48"/>
        <v>6728719923.841812</v>
      </c>
      <c r="X52" s="43">
        <f t="shared" si="48"/>
        <v>13111417674.000412</v>
      </c>
      <c r="Y52" s="43">
        <f t="shared" si="48"/>
        <v>27491230484.834167</v>
      </c>
      <c r="Z52" s="43">
        <f t="shared" si="48"/>
        <v>61158567153.69506</v>
      </c>
      <c r="AA52" s="43">
        <f t="shared" si="48"/>
        <v>142957053276.62244</v>
      </c>
      <c r="AB52" s="43">
        <f t="shared" si="48"/>
        <v>349035230251.98016</v>
      </c>
      <c r="AC52" s="43">
        <f t="shared" si="48"/>
        <v>887185254791.385</v>
      </c>
      <c r="AD52" s="43">
        <f t="shared" si="48"/>
        <v>2343584464459.042</v>
      </c>
    </row>
    <row r="53" spans="1:31" ht="12.75">
      <c r="A53" s="10" t="s">
        <v>57</v>
      </c>
      <c r="B53" s="7">
        <f>B62</f>
        <v>-16042433.8</v>
      </c>
      <c r="C53" s="94">
        <f aca="true" t="shared" si="49" ref="C53:Q53">B53+C62</f>
        <v>-468303292.5159091</v>
      </c>
      <c r="D53" s="94">
        <f t="shared" si="49"/>
        <v>-533569455.69772726</v>
      </c>
      <c r="E53" s="94">
        <f t="shared" si="49"/>
        <v>-520650215.702736</v>
      </c>
      <c r="F53" s="94">
        <f t="shared" si="49"/>
        <v>-479129839.2598701</v>
      </c>
      <c r="G53" s="94">
        <f t="shared" si="49"/>
        <v>-437005684.3967956</v>
      </c>
      <c r="H53" s="94">
        <f t="shared" si="49"/>
        <v>-392155834.5627813</v>
      </c>
      <c r="I53" s="94">
        <f t="shared" si="49"/>
        <v>-343942150.1837686</v>
      </c>
      <c r="J53" s="94">
        <f t="shared" si="49"/>
        <v>-293365595.8281371</v>
      </c>
      <c r="K53" s="94">
        <f t="shared" si="49"/>
        <v>-241739140.53349543</v>
      </c>
      <c r="L53" s="94">
        <f t="shared" si="49"/>
        <v>-188839333.4045808</v>
      </c>
      <c r="M53" s="94">
        <f t="shared" si="49"/>
        <v>-135344598.3209368</v>
      </c>
      <c r="N53" s="94">
        <f t="shared" si="49"/>
        <v>-81815645.23150146</v>
      </c>
      <c r="O53" s="94">
        <f t="shared" si="49"/>
        <v>-28715417.84437815</v>
      </c>
      <c r="P53" s="94">
        <f t="shared" si="49"/>
        <v>23577728.46161885</v>
      </c>
      <c r="Q53" s="160">
        <f t="shared" si="49"/>
        <v>77060270.7893483</v>
      </c>
      <c r="R53" s="46">
        <f aca="true" t="shared" si="50" ref="R53:AD53">Q53+(R31-R48-R61)*R58</f>
        <v>107952668.6515744</v>
      </c>
      <c r="S53" s="46">
        <f t="shared" si="50"/>
        <v>153015375.42330456</v>
      </c>
      <c r="T53" s="46">
        <f t="shared" si="50"/>
        <v>223782628.2402194</v>
      </c>
      <c r="U53" s="46">
        <f t="shared" si="50"/>
        <v>342750440.85749835</v>
      </c>
      <c r="V53" s="46">
        <f t="shared" si="50"/>
        <v>555045030.2353604</v>
      </c>
      <c r="W53" s="46">
        <f t="shared" si="50"/>
        <v>953911309.8575654</v>
      </c>
      <c r="X53" s="46">
        <f t="shared" si="50"/>
        <v>1738000029.0022862</v>
      </c>
      <c r="Y53" s="46">
        <f t="shared" si="50"/>
        <v>3343911033.14232</v>
      </c>
      <c r="Z53" s="46">
        <f t="shared" si="50"/>
        <v>6762007521.339687</v>
      </c>
      <c r="AA53" s="84">
        <f t="shared" si="50"/>
        <v>14311680447.42799</v>
      </c>
      <c r="AB53" s="46">
        <f t="shared" si="50"/>
        <v>31602763216.92826</v>
      </c>
      <c r="AC53" s="46">
        <f t="shared" si="50"/>
        <v>72651600972.19759</v>
      </c>
      <c r="AD53" s="46">
        <f t="shared" si="50"/>
        <v>173643200371.56915</v>
      </c>
      <c r="AE53" s="46"/>
    </row>
    <row r="54" spans="1:30" ht="12.75">
      <c r="A54" s="42" t="s">
        <v>9</v>
      </c>
      <c r="B54" s="43">
        <f aca="true" t="shared" si="51" ref="B54:AD54">B31-B48</f>
        <v>-91417069.54470927</v>
      </c>
      <c r="C54" s="169">
        <f t="shared" si="51"/>
        <v>-572861580.3322092</v>
      </c>
      <c r="D54" s="169">
        <f t="shared" si="51"/>
        <v>-154346693.19470924</v>
      </c>
      <c r="E54" s="169">
        <f t="shared" si="51"/>
        <v>-58179127.311375946</v>
      </c>
      <c r="F54" s="169">
        <f t="shared" si="51"/>
        <v>-14584652.594709292</v>
      </c>
      <c r="G54" s="169">
        <f t="shared" si="51"/>
        <v>-7533263.096179038</v>
      </c>
      <c r="H54" s="169">
        <f t="shared" si="51"/>
        <v>4079609.0770869553</v>
      </c>
      <c r="I54" s="169">
        <f t="shared" si="51"/>
        <v>18580195.458675772</v>
      </c>
      <c r="J54" s="169">
        <f t="shared" si="51"/>
        <v>33040700.220379174</v>
      </c>
      <c r="K54" s="169">
        <f t="shared" si="51"/>
        <v>46357845.311805904</v>
      </c>
      <c r="L54" s="169">
        <f t="shared" si="51"/>
        <v>61833840.13665736</v>
      </c>
      <c r="M54" s="169">
        <f t="shared" si="51"/>
        <v>77252086.61136425</v>
      </c>
      <c r="N54" s="169">
        <f t="shared" si="51"/>
        <v>92622149.607342</v>
      </c>
      <c r="O54" s="169">
        <f t="shared" si="51"/>
        <v>107941750.74158481</v>
      </c>
      <c r="P54" s="169">
        <f t="shared" si="51"/>
        <v>123208500.3277553</v>
      </c>
      <c r="Q54" s="170">
        <f t="shared" si="51"/>
        <v>148035216.28949392</v>
      </c>
      <c r="R54" s="73">
        <f t="shared" si="51"/>
        <v>141949733.6607285</v>
      </c>
      <c r="S54" s="7">
        <f t="shared" si="51"/>
        <v>227768112.33906034</v>
      </c>
      <c r="T54" s="7">
        <f t="shared" si="51"/>
        <v>393460074.16504717</v>
      </c>
      <c r="U54" s="7">
        <f t="shared" si="51"/>
        <v>727596321.2310207</v>
      </c>
      <c r="V54" s="7">
        <f t="shared" si="51"/>
        <v>1428211839.2816677</v>
      </c>
      <c r="W54" s="7">
        <f t="shared" si="51"/>
        <v>2951710163.5406866</v>
      </c>
      <c r="X54" s="7">
        <f t="shared" si="51"/>
        <v>6382697750.1586</v>
      </c>
      <c r="Y54" s="7">
        <f t="shared" si="51"/>
        <v>14379812810.833755</v>
      </c>
      <c r="Z54" s="7">
        <f t="shared" si="51"/>
        <v>33667336668.860897</v>
      </c>
      <c r="AA54" s="7">
        <f t="shared" si="51"/>
        <v>81798486122.92737</v>
      </c>
      <c r="AB54" s="7">
        <f t="shared" si="51"/>
        <v>206078176975.35773</v>
      </c>
      <c r="AC54" s="7">
        <f t="shared" si="51"/>
        <v>538150024539.4049</v>
      </c>
      <c r="AD54" s="7">
        <f t="shared" si="51"/>
        <v>1456399209667.6567</v>
      </c>
    </row>
    <row r="55" spans="1:30" ht="13.5" thickBot="1">
      <c r="A55" s="13" t="s">
        <v>10</v>
      </c>
      <c r="B55" s="14">
        <f>+B54</f>
        <v>-91417069.54470927</v>
      </c>
      <c r="C55" s="171">
        <f>B55+C54</f>
        <v>-664278649.8769186</v>
      </c>
      <c r="D55" s="171">
        <f aca="true" t="shared" si="52" ref="D55:AD55">C55+D54</f>
        <v>-818625343.0716279</v>
      </c>
      <c r="E55" s="171">
        <f t="shared" si="52"/>
        <v>-876804470.3830038</v>
      </c>
      <c r="F55" s="171">
        <f t="shared" si="52"/>
        <v>-891389122.9777131</v>
      </c>
      <c r="G55" s="171">
        <f t="shared" si="52"/>
        <v>-898922386.0738921</v>
      </c>
      <c r="H55" s="171">
        <f t="shared" si="52"/>
        <v>-894842776.9968052</v>
      </c>
      <c r="I55" s="171">
        <f t="shared" si="52"/>
        <v>-876262581.5381294</v>
      </c>
      <c r="J55" s="171">
        <f t="shared" si="52"/>
        <v>-843221881.3177502</v>
      </c>
      <c r="K55" s="171">
        <f t="shared" si="52"/>
        <v>-796864036.0059443</v>
      </c>
      <c r="L55" s="171">
        <f t="shared" si="52"/>
        <v>-735030195.8692869</v>
      </c>
      <c r="M55" s="171">
        <f t="shared" si="52"/>
        <v>-657778109.2579226</v>
      </c>
      <c r="N55" s="171">
        <f t="shared" si="52"/>
        <v>-565155959.6505806</v>
      </c>
      <c r="O55" s="171">
        <f t="shared" si="52"/>
        <v>-457214208.90899587</v>
      </c>
      <c r="P55" s="171">
        <f t="shared" si="52"/>
        <v>-334005708.58124053</v>
      </c>
      <c r="Q55" s="172">
        <f t="shared" si="52"/>
        <v>-185970492.29174662</v>
      </c>
      <c r="R55" s="77">
        <f t="shared" si="52"/>
        <v>-44020758.6310181</v>
      </c>
      <c r="S55" s="43">
        <f t="shared" si="52"/>
        <v>183747353.70804223</v>
      </c>
      <c r="T55" s="43">
        <f t="shared" si="52"/>
        <v>577207427.8730894</v>
      </c>
      <c r="U55" s="43">
        <f t="shared" si="52"/>
        <v>1304803749.1041102</v>
      </c>
      <c r="V55" s="43">
        <f t="shared" si="52"/>
        <v>2733015588.385778</v>
      </c>
      <c r="W55" s="43">
        <f t="shared" si="52"/>
        <v>5684725751.926464</v>
      </c>
      <c r="X55" s="43">
        <f t="shared" si="52"/>
        <v>12067423502.085064</v>
      </c>
      <c r="Y55" s="43">
        <f t="shared" si="52"/>
        <v>26447236312.91882</v>
      </c>
      <c r="Z55" s="43">
        <f t="shared" si="52"/>
        <v>60114572981.77972</v>
      </c>
      <c r="AA55" s="43">
        <f t="shared" si="52"/>
        <v>141913059104.7071</v>
      </c>
      <c r="AB55" s="43">
        <f t="shared" si="52"/>
        <v>347991236080.0648</v>
      </c>
      <c r="AC55" s="43">
        <f t="shared" si="52"/>
        <v>886141260619.4697</v>
      </c>
      <c r="AD55" s="43">
        <f t="shared" si="52"/>
        <v>2342540470287.1265</v>
      </c>
    </row>
    <row r="56" spans="1:30" ht="13.5" thickBot="1">
      <c r="A56" s="42" t="s">
        <v>11</v>
      </c>
      <c r="B56" s="43">
        <f aca="true" t="shared" si="53" ref="B56:AD56">B48/B20</f>
        <v>2823.920053647838</v>
      </c>
      <c r="C56" s="169">
        <f t="shared" si="53"/>
        <v>13068.908041376602</v>
      </c>
      <c r="D56" s="169">
        <f t="shared" si="53"/>
        <v>2844.1357501291413</v>
      </c>
      <c r="E56" s="169">
        <f t="shared" si="53"/>
        <v>1640.5571951782626</v>
      </c>
      <c r="F56" s="169">
        <f t="shared" si="53"/>
        <v>1173.5778621379088</v>
      </c>
      <c r="G56" s="169">
        <f t="shared" si="53"/>
        <v>1089.0862177894815</v>
      </c>
      <c r="H56" s="169">
        <f t="shared" si="53"/>
        <v>977.2487253728979</v>
      </c>
      <c r="I56" s="169">
        <f t="shared" si="53"/>
        <v>884.085636301273</v>
      </c>
      <c r="J56" s="169">
        <f t="shared" si="53"/>
        <v>815.9018314610086</v>
      </c>
      <c r="K56" s="169">
        <f t="shared" si="53"/>
        <v>761.5521098252177</v>
      </c>
      <c r="L56" s="169">
        <f t="shared" si="53"/>
        <v>723.0003246371176</v>
      </c>
      <c r="M56" s="169">
        <f t="shared" si="53"/>
        <v>691.7900928394316</v>
      </c>
      <c r="N56" s="169">
        <f t="shared" si="53"/>
        <v>666.157215682136</v>
      </c>
      <c r="O56" s="169">
        <f t="shared" si="53"/>
        <v>644.7691554281314</v>
      </c>
      <c r="P56" s="169">
        <f t="shared" si="53"/>
        <v>626.6886000108767</v>
      </c>
      <c r="Q56" s="170">
        <f t="shared" si="53"/>
        <v>578.5924211814759</v>
      </c>
      <c r="R56" s="78">
        <f t="shared" si="53"/>
        <v>505.9588351593313</v>
      </c>
      <c r="S56" s="14">
        <f t="shared" si="53"/>
        <v>430.9574376162702</v>
      </c>
      <c r="T56" s="14">
        <f t="shared" si="53"/>
        <v>378.0940329768992</v>
      </c>
      <c r="U56" s="14">
        <f t="shared" si="53"/>
        <v>344.3391102040036</v>
      </c>
      <c r="V56" s="14">
        <f t="shared" si="53"/>
        <v>324.5020859550756</v>
      </c>
      <c r="W56" s="14">
        <f t="shared" si="53"/>
        <v>313.61275550184297</v>
      </c>
      <c r="X56" s="14">
        <f t="shared" si="53"/>
        <v>307.9650836934804</v>
      </c>
      <c r="Y56" s="14">
        <f t="shared" si="53"/>
        <v>305.17603148506447</v>
      </c>
      <c r="Z56" s="14">
        <f t="shared" si="53"/>
        <v>303.8581621703347</v>
      </c>
      <c r="AA56" s="14">
        <f t="shared" si="53"/>
        <v>303.2606307259537</v>
      </c>
      <c r="AB56" s="14">
        <f t="shared" si="53"/>
        <v>303.0002367690275</v>
      </c>
      <c r="AC56" s="14">
        <f t="shared" si="53"/>
        <v>302.8910717499279</v>
      </c>
      <c r="AD56" s="14">
        <f t="shared" si="53"/>
        <v>302.8470212536386</v>
      </c>
    </row>
    <row r="57" spans="1:30" ht="13.5" hidden="1" thickBot="1">
      <c r="A57" s="13" t="s">
        <v>37</v>
      </c>
      <c r="B57" s="14">
        <v>0.1</v>
      </c>
      <c r="C57" s="171">
        <f>B57</f>
        <v>0.1</v>
      </c>
      <c r="D57" s="171">
        <f>+$B$57</f>
        <v>0.1</v>
      </c>
      <c r="E57" s="171">
        <f aca="true" t="shared" si="54" ref="E57:P57">+$B$57</f>
        <v>0.1</v>
      </c>
      <c r="F57" s="171">
        <f t="shared" si="54"/>
        <v>0.1</v>
      </c>
      <c r="G57" s="171">
        <f t="shared" si="54"/>
        <v>0.1</v>
      </c>
      <c r="H57" s="171">
        <f t="shared" si="54"/>
        <v>0.1</v>
      </c>
      <c r="I57" s="171">
        <f t="shared" si="54"/>
        <v>0.1</v>
      </c>
      <c r="J57" s="171">
        <f t="shared" si="54"/>
        <v>0.1</v>
      </c>
      <c r="K57" s="171">
        <f t="shared" si="54"/>
        <v>0.1</v>
      </c>
      <c r="L57" s="171">
        <f t="shared" si="54"/>
        <v>0.1</v>
      </c>
      <c r="M57" s="171">
        <f t="shared" si="54"/>
        <v>0.1</v>
      </c>
      <c r="N57" s="171">
        <f t="shared" si="54"/>
        <v>0.1</v>
      </c>
      <c r="O57" s="171">
        <f t="shared" si="54"/>
        <v>0.1</v>
      </c>
      <c r="P57" s="171">
        <f t="shared" si="54"/>
        <v>0.1</v>
      </c>
      <c r="Q57" s="172">
        <f aca="true" t="shared" si="55" ref="Q57:AD57">+$B$57</f>
        <v>0.1</v>
      </c>
      <c r="R57">
        <f t="shared" si="55"/>
        <v>0.1</v>
      </c>
      <c r="S57">
        <f t="shared" si="55"/>
        <v>0.1</v>
      </c>
      <c r="T57">
        <f t="shared" si="55"/>
        <v>0.1</v>
      </c>
      <c r="U57">
        <f t="shared" si="55"/>
        <v>0.1</v>
      </c>
      <c r="V57">
        <f t="shared" si="55"/>
        <v>0.1</v>
      </c>
      <c r="W57">
        <f t="shared" si="55"/>
        <v>0.1</v>
      </c>
      <c r="X57">
        <f t="shared" si="55"/>
        <v>0.1</v>
      </c>
      <c r="Y57">
        <f t="shared" si="55"/>
        <v>0.1</v>
      </c>
      <c r="Z57">
        <f t="shared" si="55"/>
        <v>0.1</v>
      </c>
      <c r="AA57">
        <f t="shared" si="55"/>
        <v>0.1</v>
      </c>
      <c r="AB57">
        <f t="shared" si="55"/>
        <v>0.1</v>
      </c>
      <c r="AC57">
        <f t="shared" si="55"/>
        <v>0.1</v>
      </c>
      <c r="AD57">
        <f t="shared" si="55"/>
        <v>0.1</v>
      </c>
    </row>
    <row r="58" spans="1:30" ht="12.75" hidden="1">
      <c r="A58" s="52" t="s">
        <v>38</v>
      </c>
      <c r="B58" s="127">
        <f>+(1+B57/100)^-(B4-$B$4)</f>
        <v>1</v>
      </c>
      <c r="C58" s="128">
        <f aca="true" t="shared" si="56" ref="C58:AD58">+(1+C57)^-(C4-$B$4)</f>
        <v>0.9090909090909091</v>
      </c>
      <c r="D58" s="128">
        <f t="shared" si="56"/>
        <v>0.8264462809917354</v>
      </c>
      <c r="E58" s="128">
        <f t="shared" si="56"/>
        <v>0.7513148009015775</v>
      </c>
      <c r="F58" s="128">
        <f t="shared" si="56"/>
        <v>0.6830134553650705</v>
      </c>
      <c r="G58" s="128">
        <f t="shared" si="56"/>
        <v>0.6209213230591549</v>
      </c>
      <c r="H58" s="128">
        <f t="shared" si="56"/>
        <v>0.5644739300537772</v>
      </c>
      <c r="I58" s="128">
        <f t="shared" si="56"/>
        <v>0.5131581182307065</v>
      </c>
      <c r="J58" s="128">
        <f t="shared" si="56"/>
        <v>0.46650738020973315</v>
      </c>
      <c r="K58" s="128">
        <f t="shared" si="56"/>
        <v>0.42409761837248466</v>
      </c>
      <c r="L58" s="128">
        <f t="shared" si="56"/>
        <v>0.3855432894295315</v>
      </c>
      <c r="M58" s="128">
        <f t="shared" si="56"/>
        <v>0.3504938994813922</v>
      </c>
      <c r="N58" s="128">
        <f t="shared" si="56"/>
        <v>0.31863081771035656</v>
      </c>
      <c r="O58" s="128">
        <f t="shared" si="56"/>
        <v>0.2896643797366878</v>
      </c>
      <c r="P58" s="128">
        <f t="shared" si="56"/>
        <v>0.26333125430607973</v>
      </c>
      <c r="Q58" s="129">
        <f t="shared" si="56"/>
        <v>0.2393920493691634</v>
      </c>
      <c r="R58">
        <f t="shared" si="56"/>
        <v>0.21762913579014853</v>
      </c>
      <c r="S58">
        <f t="shared" si="56"/>
        <v>0.19784466890013502</v>
      </c>
      <c r="T58">
        <f t="shared" si="56"/>
        <v>0.17985878990921364</v>
      </c>
      <c r="U58">
        <f t="shared" si="56"/>
        <v>0.16350799082655781</v>
      </c>
      <c r="V58">
        <f t="shared" si="56"/>
        <v>0.1486436280241435</v>
      </c>
      <c r="W58">
        <f t="shared" si="56"/>
        <v>0.13513057093103953</v>
      </c>
      <c r="X58">
        <f t="shared" si="56"/>
        <v>0.12284597357367227</v>
      </c>
      <c r="Y58">
        <f t="shared" si="56"/>
        <v>0.11167815779424752</v>
      </c>
      <c r="Z58">
        <f t="shared" si="56"/>
        <v>0.10152559799477048</v>
      </c>
      <c r="AA58">
        <f t="shared" si="56"/>
        <v>0.09229599817706405</v>
      </c>
      <c r="AB58">
        <f t="shared" si="56"/>
        <v>0.08390545288824004</v>
      </c>
      <c r="AC58">
        <f t="shared" si="56"/>
        <v>0.07627768444385458</v>
      </c>
      <c r="AD58">
        <f t="shared" si="56"/>
        <v>0.06934334949441325</v>
      </c>
    </row>
    <row r="59" spans="1:31" ht="12.75" hidden="1">
      <c r="A59" s="51" t="s">
        <v>39</v>
      </c>
      <c r="B59" s="128">
        <f aca="true" t="shared" si="57" ref="B59:AD59">+B31*B58</f>
        <v>0</v>
      </c>
      <c r="C59" s="128">
        <f t="shared" si="57"/>
        <v>57258409.090909086</v>
      </c>
      <c r="D59" s="128">
        <f t="shared" si="57"/>
        <v>79646851.23966941</v>
      </c>
      <c r="E59" s="128">
        <f t="shared" si="57"/>
        <v>81256889.55672425</v>
      </c>
      <c r="F59" s="128">
        <f t="shared" si="57"/>
        <v>81915955.1943173</v>
      </c>
      <c r="G59" s="128">
        <f t="shared" si="57"/>
        <v>81783646.17419323</v>
      </c>
      <c r="H59" s="128">
        <f t="shared" si="57"/>
        <v>88450495.35409729</v>
      </c>
      <c r="I59" s="128">
        <f t="shared" si="57"/>
        <v>93229292.23538907</v>
      </c>
      <c r="J59" s="128">
        <f t="shared" si="57"/>
        <v>96408221.12707329</v>
      </c>
      <c r="K59" s="128">
        <f t="shared" si="57"/>
        <v>97530947.30548026</v>
      </c>
      <c r="L59" s="128">
        <f t="shared" si="57"/>
        <v>98939553.15444304</v>
      </c>
      <c r="M59" s="128">
        <f t="shared" si="57"/>
        <v>99280944.0263671</v>
      </c>
      <c r="N59" s="128">
        <f t="shared" si="57"/>
        <v>98742581.57319386</v>
      </c>
      <c r="O59" s="128">
        <f t="shared" si="57"/>
        <v>97481599.53277637</v>
      </c>
      <c r="P59" s="128">
        <f t="shared" si="57"/>
        <v>95633832.56108604</v>
      </c>
      <c r="Q59" s="129">
        <f t="shared" si="57"/>
        <v>92404162.82329614</v>
      </c>
      <c r="R59" s="45">
        <f t="shared" si="57"/>
        <v>60490947.25199146</v>
      </c>
      <c r="S59" s="45">
        <f t="shared" si="57"/>
        <v>82941842.9364087</v>
      </c>
      <c r="T59" s="45">
        <f t="shared" si="57"/>
        <v>124293487.77098593</v>
      </c>
      <c r="U59" s="45">
        <f t="shared" si="57"/>
        <v>202461404.05451235</v>
      </c>
      <c r="V59" s="45">
        <f t="shared" si="57"/>
        <v>354434454.3425075</v>
      </c>
      <c r="W59" s="45">
        <f t="shared" si="57"/>
        <v>658865173.148304</v>
      </c>
      <c r="X59" s="45">
        <f t="shared" si="57"/>
        <v>1288047941.7802994</v>
      </c>
      <c r="Y59" s="45">
        <f t="shared" si="57"/>
        <v>2630932893.8481674</v>
      </c>
      <c r="Z59" s="45">
        <f t="shared" si="57"/>
        <v>5592701291.507658</v>
      </c>
      <c r="AA59" s="45">
        <f t="shared" si="57"/>
        <v>12345784243.896029</v>
      </c>
      <c r="AB59" s="45">
        <f t="shared" si="57"/>
        <v>28268747887.12928</v>
      </c>
      <c r="AC59" s="45">
        <f t="shared" si="57"/>
        <v>67102902165.10301</v>
      </c>
      <c r="AD59" s="45">
        <f t="shared" si="57"/>
        <v>165085212486.01212</v>
      </c>
      <c r="AE59" s="46"/>
    </row>
    <row r="60" spans="1:31" ht="12.75" hidden="1">
      <c r="A60" s="52" t="s">
        <v>40</v>
      </c>
      <c r="B60" s="128">
        <f>+B48*B58</f>
        <v>91417069.54470927</v>
      </c>
      <c r="C60" s="128">
        <f aca="true" t="shared" si="58" ref="C60:AD60">+C48*C58</f>
        <v>578041663.938372</v>
      </c>
      <c r="D60" s="128">
        <f t="shared" si="58"/>
        <v>207206101.81380928</v>
      </c>
      <c r="E60" s="128">
        <f t="shared" si="58"/>
        <v>124967729.00929819</v>
      </c>
      <c r="F60" s="128">
        <f t="shared" si="58"/>
        <v>91877469.15832883</v>
      </c>
      <c r="G60" s="128">
        <f t="shared" si="58"/>
        <v>86461209.86282542</v>
      </c>
      <c r="H60" s="128">
        <f t="shared" si="58"/>
        <v>86147662.38527095</v>
      </c>
      <c r="I60" s="128">
        <f t="shared" si="58"/>
        <v>83694714.09745629</v>
      </c>
      <c r="J60" s="128">
        <f t="shared" si="58"/>
        <v>80994490.62696904</v>
      </c>
      <c r="K60" s="128">
        <f t="shared" si="58"/>
        <v>77870695.51586333</v>
      </c>
      <c r="L60" s="128">
        <f t="shared" si="58"/>
        <v>75099931.03009638</v>
      </c>
      <c r="M60" s="128">
        <f t="shared" si="58"/>
        <v>72204558.9468758</v>
      </c>
      <c r="N60" s="128">
        <f t="shared" si="58"/>
        <v>69230310.3057155</v>
      </c>
      <c r="O60" s="128">
        <f t="shared" si="58"/>
        <v>66214719.25652305</v>
      </c>
      <c r="P60" s="128">
        <f t="shared" si="58"/>
        <v>63189183.628607206</v>
      </c>
      <c r="Q60" s="129">
        <f t="shared" si="58"/>
        <v>56965709.01694684</v>
      </c>
      <c r="R60" s="45">
        <f t="shared" si="58"/>
        <v>29598549.389765352</v>
      </c>
      <c r="S60" s="45">
        <f t="shared" si="58"/>
        <v>37879136.164678544</v>
      </c>
      <c r="T60" s="45">
        <f t="shared" si="58"/>
        <v>53526234.95407109</v>
      </c>
      <c r="U60" s="45">
        <f t="shared" si="58"/>
        <v>83493591.43723342</v>
      </c>
      <c r="V60" s="45">
        <f t="shared" si="58"/>
        <v>142139864.96464548</v>
      </c>
      <c r="W60" s="45">
        <f t="shared" si="58"/>
        <v>259998893.52609894</v>
      </c>
      <c r="X60" s="45">
        <f t="shared" si="58"/>
        <v>503959222.6355785</v>
      </c>
      <c r="Y60" s="45">
        <f t="shared" si="58"/>
        <v>1025021889.7081332</v>
      </c>
      <c r="Z60" s="45">
        <f t="shared" si="58"/>
        <v>2174604803.310292</v>
      </c>
      <c r="AA60" s="45">
        <f t="shared" si="58"/>
        <v>4796111317.807725</v>
      </c>
      <c r="AB60" s="45">
        <f t="shared" si="58"/>
        <v>10977665117.629011</v>
      </c>
      <c r="AC60" s="45">
        <f t="shared" si="58"/>
        <v>26054064409.83369</v>
      </c>
      <c r="AD60" s="45">
        <f t="shared" si="58"/>
        <v>64093613086.64054</v>
      </c>
      <c r="AE60" s="46"/>
    </row>
    <row r="61" spans="1:31" ht="12.75" hidden="1">
      <c r="A61" s="114" t="s">
        <v>55</v>
      </c>
      <c r="B61" s="128">
        <f>B33</f>
        <v>0</v>
      </c>
      <c r="C61" s="128">
        <f aca="true" t="shared" si="59" ref="C61:P61">C33</f>
        <v>513366430</v>
      </c>
      <c r="D61" s="128">
        <f t="shared" si="59"/>
        <v>121962500</v>
      </c>
      <c r="E61" s="128">
        <f t="shared" si="59"/>
        <v>34716666.66666668</v>
      </c>
      <c r="F61" s="128">
        <f t="shared" si="59"/>
        <v>0</v>
      </c>
      <c r="G61" s="128">
        <f t="shared" si="59"/>
        <v>0</v>
      </c>
      <c r="H61" s="128">
        <f t="shared" si="59"/>
        <v>0</v>
      </c>
      <c r="I61" s="128">
        <f t="shared" si="59"/>
        <v>0</v>
      </c>
      <c r="J61" s="128">
        <f t="shared" si="59"/>
        <v>0</v>
      </c>
      <c r="K61" s="128">
        <f t="shared" si="59"/>
        <v>0</v>
      </c>
      <c r="L61" s="128">
        <f t="shared" si="59"/>
        <v>0</v>
      </c>
      <c r="M61" s="128">
        <f t="shared" si="59"/>
        <v>0</v>
      </c>
      <c r="N61" s="128">
        <f t="shared" si="59"/>
        <v>0</v>
      </c>
      <c r="O61" s="128">
        <f t="shared" si="59"/>
        <v>0</v>
      </c>
      <c r="P61" s="128">
        <f t="shared" si="59"/>
        <v>0</v>
      </c>
      <c r="Q61" s="129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53">
        <f>SUM(C61:P61)</f>
        <v>670045596.6666666</v>
      </c>
    </row>
    <row r="62" spans="1:31" ht="12.75" hidden="1">
      <c r="A62" s="100" t="s">
        <v>54</v>
      </c>
      <c r="B62" s="130">
        <f aca="true" t="shared" si="60" ref="B62:Q62">B51*B58</f>
        <v>-16042433.8</v>
      </c>
      <c r="C62" s="128">
        <f t="shared" si="60"/>
        <v>-452260858.71590906</v>
      </c>
      <c r="D62" s="128">
        <f t="shared" si="60"/>
        <v>-65266163.181818165</v>
      </c>
      <c r="E62" s="128">
        <f t="shared" si="60"/>
        <v>12919239.994991222</v>
      </c>
      <c r="F62" s="128">
        <f t="shared" si="60"/>
        <v>41520376.44286591</v>
      </c>
      <c r="G62" s="128">
        <f t="shared" si="60"/>
        <v>42124154.86307455</v>
      </c>
      <c r="H62" s="128">
        <f t="shared" si="60"/>
        <v>44849849.83401429</v>
      </c>
      <c r="I62" s="128">
        <f t="shared" si="60"/>
        <v>48213684.379012726</v>
      </c>
      <c r="J62" s="128">
        <f t="shared" si="60"/>
        <v>50576554.355631456</v>
      </c>
      <c r="K62" s="128">
        <f t="shared" si="60"/>
        <v>51626455.29464168</v>
      </c>
      <c r="L62" s="128">
        <f t="shared" si="60"/>
        <v>52899807.12891462</v>
      </c>
      <c r="M62" s="128">
        <f t="shared" si="60"/>
        <v>53494735.08364399</v>
      </c>
      <c r="N62" s="128">
        <f t="shared" si="60"/>
        <v>53528953.08943535</v>
      </c>
      <c r="O62" s="128">
        <f t="shared" si="60"/>
        <v>53100227.38712331</v>
      </c>
      <c r="P62" s="128">
        <f t="shared" si="60"/>
        <v>52293146.305997</v>
      </c>
      <c r="Q62" s="129">
        <f t="shared" si="60"/>
        <v>53482542.32772946</v>
      </c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53">
        <f>SUM(C62:P62)</f>
        <v>39620162.26161885</v>
      </c>
    </row>
    <row r="63" spans="1:31" ht="12.75">
      <c r="A63" s="131" t="s">
        <v>48</v>
      </c>
      <c r="B63" s="94"/>
      <c r="C63" s="94"/>
      <c r="D63" s="94">
        <f>AVERAGE(D56:P56)</f>
        <v>1041.4269782148376</v>
      </c>
      <c r="E63" s="94">
        <f>D63</f>
        <v>1041.4269782148376</v>
      </c>
      <c r="F63" s="94">
        <f aca="true" t="shared" si="61" ref="F63:Q63">E63</f>
        <v>1041.4269782148376</v>
      </c>
      <c r="G63" s="94">
        <f t="shared" si="61"/>
        <v>1041.4269782148376</v>
      </c>
      <c r="H63" s="94">
        <f t="shared" si="61"/>
        <v>1041.4269782148376</v>
      </c>
      <c r="I63" s="94">
        <f t="shared" si="61"/>
        <v>1041.4269782148376</v>
      </c>
      <c r="J63" s="94">
        <f t="shared" si="61"/>
        <v>1041.4269782148376</v>
      </c>
      <c r="K63" s="94">
        <f t="shared" si="61"/>
        <v>1041.4269782148376</v>
      </c>
      <c r="L63" s="94">
        <f t="shared" si="61"/>
        <v>1041.4269782148376</v>
      </c>
      <c r="M63" s="94">
        <f t="shared" si="61"/>
        <v>1041.4269782148376</v>
      </c>
      <c r="N63" s="94">
        <f t="shared" si="61"/>
        <v>1041.4269782148376</v>
      </c>
      <c r="O63" s="94">
        <f t="shared" si="61"/>
        <v>1041.4269782148376</v>
      </c>
      <c r="P63" s="94">
        <f t="shared" si="61"/>
        <v>1041.4269782148376</v>
      </c>
      <c r="Q63" s="160">
        <f t="shared" si="61"/>
        <v>1041.4269782148376</v>
      </c>
      <c r="R63" s="46"/>
      <c r="S63" s="46"/>
      <c r="T63" s="46"/>
      <c r="U63" s="46"/>
      <c r="V63" s="46"/>
      <c r="W63" s="46"/>
      <c r="X63" s="46"/>
      <c r="Y63" s="46"/>
      <c r="Z63" s="46"/>
      <c r="AA63" s="84"/>
      <c r="AB63" s="46"/>
      <c r="AC63" s="46"/>
      <c r="AD63" s="46"/>
      <c r="AE63" s="46"/>
    </row>
    <row r="64" spans="1:31" ht="12.75">
      <c r="A64" s="42" t="s">
        <v>41</v>
      </c>
      <c r="B64" s="105" t="e">
        <f>MAX(0,+IRR($B$51))</f>
        <v>#NUM!</v>
      </c>
      <c r="C64" s="140" t="e">
        <f>MAX(0,IRR($C$51:C51))</f>
        <v>#NUM!</v>
      </c>
      <c r="D64" s="140" t="e">
        <f>MAX(0,IRR($C$51:D51))</f>
        <v>#NUM!</v>
      </c>
      <c r="E64" s="140" t="e">
        <f>MAX(0,IRR($C$51:E51))</f>
        <v>#NUM!</v>
      </c>
      <c r="F64" s="140">
        <f>MAX(0,IRR($C$51:F51))</f>
        <v>0</v>
      </c>
      <c r="G64" s="140">
        <f>MAX(0,IRR($C$51:G51))</f>
        <v>0</v>
      </c>
      <c r="H64" s="140">
        <f>MAX(0,IRR($C$51:H51))</f>
        <v>0</v>
      </c>
      <c r="I64" s="140">
        <f>MAX(0,IRR($C$51:I51))</f>
        <v>0</v>
      </c>
      <c r="J64" s="140">
        <f>MAX(0,IRR($C$51:J51))</f>
        <v>0</v>
      </c>
      <c r="K64" s="140">
        <f>MAX(0,IRR($C$51:K51))</f>
        <v>0</v>
      </c>
      <c r="L64" s="140">
        <f>MAX(0,IRR($C$51:L51))</f>
        <v>0.028422096358020177</v>
      </c>
      <c r="M64" s="106">
        <f>MAX(0,IRR($C$51:M51))</f>
        <v>0.05679700942477206</v>
      </c>
      <c r="N64" s="106">
        <f>MAX(0,IRR($C$51:N51))</f>
        <v>0.07891524296474728</v>
      </c>
      <c r="O64" s="106">
        <f>MAX(0,IRR($C$51:O51))</f>
        <v>0.09636361303930263</v>
      </c>
      <c r="P64" s="106">
        <f>MAX(0,IRR($C$51:P51))</f>
        <v>0.11027670164900338</v>
      </c>
      <c r="Q64" s="146">
        <f>+IRR($B$51:Q51)</f>
        <v>0.11773596022717037</v>
      </c>
      <c r="R64" s="87">
        <f>+IRR($B$51:R51)</f>
        <v>0.12355512770777755</v>
      </c>
      <c r="S64" s="87">
        <f>+IRR($B$51:S51)</f>
        <v>0.13095094365356852</v>
      </c>
      <c r="T64" s="87">
        <f>+IRR($B$51:T51)</f>
        <v>0.1405718815171828</v>
      </c>
      <c r="U64" s="87">
        <f>+IRR($B$51:U51)</f>
        <v>0.15309468409211946</v>
      </c>
      <c r="V64" s="87">
        <f>+IRR($B$51:V51)</f>
        <v>0.16902069785660134</v>
      </c>
      <c r="W64" s="87">
        <f>+IRR($B$51:W51)</f>
        <v>0.1884842367838624</v>
      </c>
      <c r="X64" s="87">
        <f>+IRR($B$51:X51)</f>
        <v>0.2112196127523811</v>
      </c>
      <c r="Y64" s="87">
        <f>+IRR($B$51:Y51)</f>
        <v>0.236703794814193</v>
      </c>
      <c r="Z64" s="87">
        <f>+IRR($B$51:Z51)</f>
        <v>0.2643493774632866</v>
      </c>
      <c r="AA64" s="87">
        <f>+IRR($B$51:AA51)</f>
        <v>0.2936360518013186</v>
      </c>
      <c r="AB64" s="87">
        <f>+IRR($B$51:AB51)</f>
        <v>0.32416024932215204</v>
      </c>
      <c r="AC64" s="87">
        <f>+IRR($B$51:AC51)</f>
        <v>0.3556331816942735</v>
      </c>
      <c r="AD64" s="87">
        <f>+IRR($B$51:AD51)</f>
        <v>0.3878587626662464</v>
      </c>
      <c r="AE64" s="46"/>
    </row>
    <row r="65" spans="1:17" ht="14.25" thickBot="1">
      <c r="A65" s="132" t="s">
        <v>56</v>
      </c>
      <c r="B65" s="133"/>
      <c r="C65" s="134"/>
      <c r="D65" s="133"/>
      <c r="E65" s="134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47">
        <f>+AE33/(AE31-AE49)</f>
        <v>15.682941825136897</v>
      </c>
    </row>
    <row r="66" spans="1:17" ht="14.25" hidden="1" thickBot="1">
      <c r="A66" s="141" t="s">
        <v>53</v>
      </c>
      <c r="B66" s="142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4"/>
      <c r="Q66" s="145">
        <f>AE62/AE61</f>
        <v>0.059130546426572575</v>
      </c>
    </row>
    <row r="67" spans="2:5" ht="13.5">
      <c r="B67" s="1"/>
      <c r="C67" s="86"/>
      <c r="D67" s="1"/>
      <c r="E67" s="2"/>
    </row>
    <row r="68" spans="2:5" ht="12.75">
      <c r="B68" s="44"/>
      <c r="C68" s="1"/>
      <c r="D68" s="1"/>
      <c r="E68" s="1"/>
    </row>
    <row r="69" spans="2:5" ht="12.75">
      <c r="B69" s="1"/>
      <c r="C69" s="85"/>
      <c r="D69" s="1"/>
      <c r="E69" s="3"/>
    </row>
    <row r="70" spans="2:5" ht="12.75">
      <c r="B70" s="85"/>
      <c r="C70" s="3"/>
      <c r="D70" s="1"/>
      <c r="E70" s="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4:V29"/>
  <sheetViews>
    <sheetView zoomScalePageLayoutView="0" workbookViewId="0" topLeftCell="A2">
      <pane xSplit="2" topLeftCell="C1" activePane="topRight" state="frozen"/>
      <selection pane="topLeft" activeCell="A1" sqref="A1"/>
      <selection pane="topRight" activeCell="H23" sqref="H23"/>
    </sheetView>
  </sheetViews>
  <sheetFormatPr defaultColWidth="11.421875" defaultRowHeight="12.75"/>
  <cols>
    <col min="1" max="1" width="11.421875" style="0" customWidth="1"/>
    <col min="2" max="2" width="35.140625" style="0" bestFit="1" customWidth="1"/>
    <col min="3" max="6" width="14.421875" style="0" bestFit="1" customWidth="1"/>
    <col min="7" max="20" width="15.421875" style="0" bestFit="1" customWidth="1"/>
    <col min="21" max="22" width="16.57421875" style="0" bestFit="1" customWidth="1"/>
  </cols>
  <sheetData>
    <row r="4" spans="2:22" ht="12.75">
      <c r="B4" t="s">
        <v>12</v>
      </c>
      <c r="C4" s="210">
        <v>1</v>
      </c>
      <c r="D4" s="210"/>
      <c r="E4" s="210"/>
      <c r="F4" s="210"/>
      <c r="G4" s="210">
        <v>2</v>
      </c>
      <c r="H4" s="210"/>
      <c r="I4" s="210"/>
      <c r="J4" s="210"/>
      <c r="K4" s="210">
        <v>3</v>
      </c>
      <c r="L4" s="210"/>
      <c r="M4" s="210"/>
      <c r="N4" s="210"/>
      <c r="O4" s="210">
        <v>4</v>
      </c>
      <c r="P4" s="210"/>
      <c r="Q4" s="210"/>
      <c r="R4" s="210"/>
      <c r="S4" s="210">
        <v>5</v>
      </c>
      <c r="T4" s="210"/>
      <c r="U4" s="210"/>
      <c r="V4" s="210"/>
    </row>
    <row r="5" spans="2:22" ht="12.75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18</v>
      </c>
      <c r="H5" t="s">
        <v>19</v>
      </c>
      <c r="I5" t="s">
        <v>20</v>
      </c>
      <c r="J5" t="s">
        <v>21</v>
      </c>
      <c r="K5" t="s">
        <v>18</v>
      </c>
      <c r="L5" t="s">
        <v>19</v>
      </c>
      <c r="M5" t="s">
        <v>20</v>
      </c>
      <c r="N5" t="s">
        <v>21</v>
      </c>
      <c r="O5" t="s">
        <v>18</v>
      </c>
      <c r="P5" t="s">
        <v>19</v>
      </c>
      <c r="Q5" t="s">
        <v>20</v>
      </c>
      <c r="R5" t="s">
        <v>21</v>
      </c>
      <c r="S5" t="s">
        <v>18</v>
      </c>
      <c r="T5" t="s">
        <v>19</v>
      </c>
      <c r="U5" t="s">
        <v>20</v>
      </c>
      <c r="V5" t="s">
        <v>21</v>
      </c>
    </row>
    <row r="6" ht="12.75">
      <c r="B6" t="s">
        <v>27</v>
      </c>
    </row>
    <row r="7" ht="12.75">
      <c r="B7" t="s">
        <v>13</v>
      </c>
    </row>
    <row r="8" spans="2:3" ht="12.75">
      <c r="B8" t="s">
        <v>14</v>
      </c>
      <c r="C8">
        <v>1</v>
      </c>
    </row>
    <row r="9" ht="12.75">
      <c r="B9" t="s">
        <v>28</v>
      </c>
    </row>
    <row r="11" spans="2:9" ht="12.75">
      <c r="B11" t="s">
        <v>29</v>
      </c>
      <c r="C11" s="45">
        <v>5000000</v>
      </c>
      <c r="I11" s="45">
        <v>5000000</v>
      </c>
    </row>
    <row r="12" spans="2:7" ht="12.75">
      <c r="B12" t="s">
        <v>22</v>
      </c>
      <c r="G12" s="45">
        <v>40066000</v>
      </c>
    </row>
    <row r="13" spans="2:21" ht="12.75">
      <c r="B13" t="s">
        <v>23</v>
      </c>
      <c r="U13" s="45">
        <v>60099000</v>
      </c>
    </row>
    <row r="14" spans="2:15" ht="12.75">
      <c r="B14" t="s">
        <v>24</v>
      </c>
      <c r="O14" s="45">
        <v>60099000</v>
      </c>
    </row>
    <row r="15" spans="2:21" ht="12.75">
      <c r="B15" t="s">
        <v>25</v>
      </c>
      <c r="I15" s="45"/>
      <c r="U15" s="45">
        <v>20033000</v>
      </c>
    </row>
    <row r="16" spans="2:22" ht="12.75">
      <c r="B16" t="s">
        <v>26</v>
      </c>
      <c r="V16" s="45">
        <v>20033000</v>
      </c>
    </row>
    <row r="17" spans="2:22" s="4" customFormat="1" ht="12.75">
      <c r="B17" s="4" t="s">
        <v>30</v>
      </c>
      <c r="C17" s="48">
        <f>SUM(C11:C16)</f>
        <v>5000000</v>
      </c>
      <c r="D17" s="48">
        <f aca="true" t="shared" si="0" ref="D17:V17">SUM(D11:D16)</f>
        <v>0</v>
      </c>
      <c r="E17" s="48">
        <f t="shared" si="0"/>
        <v>0</v>
      </c>
      <c r="F17" s="48">
        <f t="shared" si="0"/>
        <v>0</v>
      </c>
      <c r="G17" s="48">
        <f t="shared" si="0"/>
        <v>40066000</v>
      </c>
      <c r="H17" s="48">
        <f t="shared" si="0"/>
        <v>0</v>
      </c>
      <c r="I17" s="48">
        <f t="shared" si="0"/>
        <v>5000000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60099000</v>
      </c>
      <c r="P17" s="48">
        <f t="shared" si="0"/>
        <v>0</v>
      </c>
      <c r="Q17" s="48">
        <f t="shared" si="0"/>
        <v>0</v>
      </c>
      <c r="R17" s="48">
        <f t="shared" si="0"/>
        <v>0</v>
      </c>
      <c r="S17" s="48">
        <f t="shared" si="0"/>
        <v>0</v>
      </c>
      <c r="T17" s="48">
        <f t="shared" si="0"/>
        <v>0</v>
      </c>
      <c r="U17" s="48">
        <f t="shared" si="0"/>
        <v>80132000</v>
      </c>
      <c r="V17" s="48">
        <f t="shared" si="0"/>
        <v>20033000</v>
      </c>
    </row>
    <row r="19" spans="2:7" ht="12.75">
      <c r="B19" t="s">
        <v>15</v>
      </c>
      <c r="G19" s="45">
        <v>8000000</v>
      </c>
    </row>
    <row r="20" spans="2:4" ht="12.75">
      <c r="B20" t="s">
        <v>32</v>
      </c>
      <c r="D20" s="45">
        <v>600000</v>
      </c>
    </row>
    <row r="21" spans="2:7" ht="12.75">
      <c r="B21" t="s">
        <v>31</v>
      </c>
      <c r="C21" s="45">
        <f>800000+350000</f>
        <v>1150000</v>
      </c>
      <c r="G21" s="45">
        <v>250000</v>
      </c>
    </row>
    <row r="22" spans="2:8" ht="12.75">
      <c r="B22" t="s">
        <v>33</v>
      </c>
      <c r="H22" s="47">
        <v>4500000</v>
      </c>
    </row>
    <row r="23" spans="2:11" ht="12.75">
      <c r="B23" t="s">
        <v>14</v>
      </c>
      <c r="H23" t="s">
        <v>46</v>
      </c>
      <c r="K23" s="45">
        <v>20000000</v>
      </c>
    </row>
    <row r="24" spans="2:19" ht="12.75">
      <c r="B24" t="s">
        <v>34</v>
      </c>
      <c r="H24" s="45">
        <v>10000000</v>
      </c>
      <c r="K24" s="45">
        <v>10000000</v>
      </c>
      <c r="O24" s="45">
        <v>10000000</v>
      </c>
      <c r="S24" s="45">
        <v>10000000</v>
      </c>
    </row>
    <row r="25" spans="2:22" s="4" customFormat="1" ht="12.75">
      <c r="B25" s="4" t="s">
        <v>35</v>
      </c>
      <c r="C25" s="49">
        <f aca="true" t="shared" si="1" ref="C25:V25">SUM(C19:C24)</f>
        <v>1150000</v>
      </c>
      <c r="D25" s="49">
        <f t="shared" si="1"/>
        <v>600000</v>
      </c>
      <c r="E25" s="49">
        <f t="shared" si="1"/>
        <v>0</v>
      </c>
      <c r="F25" s="49">
        <f t="shared" si="1"/>
        <v>0</v>
      </c>
      <c r="G25" s="49">
        <f t="shared" si="1"/>
        <v>8250000</v>
      </c>
      <c r="H25" s="49">
        <f t="shared" si="1"/>
        <v>14500000</v>
      </c>
      <c r="I25" s="49">
        <f t="shared" si="1"/>
        <v>0</v>
      </c>
      <c r="J25" s="49">
        <f t="shared" si="1"/>
        <v>0</v>
      </c>
      <c r="K25" s="49">
        <f t="shared" si="1"/>
        <v>30000000</v>
      </c>
      <c r="L25" s="49">
        <f t="shared" si="1"/>
        <v>0</v>
      </c>
      <c r="M25" s="49">
        <f t="shared" si="1"/>
        <v>0</v>
      </c>
      <c r="N25" s="49">
        <f t="shared" si="1"/>
        <v>0</v>
      </c>
      <c r="O25" s="49">
        <f t="shared" si="1"/>
        <v>10000000</v>
      </c>
      <c r="P25" s="49">
        <f t="shared" si="1"/>
        <v>0</v>
      </c>
      <c r="Q25" s="49">
        <f t="shared" si="1"/>
        <v>0</v>
      </c>
      <c r="R25" s="49">
        <f t="shared" si="1"/>
        <v>0</v>
      </c>
      <c r="S25" s="49">
        <f t="shared" si="1"/>
        <v>10000000</v>
      </c>
      <c r="T25" s="49">
        <f t="shared" si="1"/>
        <v>0</v>
      </c>
      <c r="U25" s="49">
        <f t="shared" si="1"/>
        <v>0</v>
      </c>
      <c r="V25" s="49">
        <f t="shared" si="1"/>
        <v>0</v>
      </c>
    </row>
    <row r="28" spans="2:22" ht="12.75">
      <c r="B28" t="s">
        <v>16</v>
      </c>
      <c r="C28" s="46">
        <f aca="true" t="shared" si="2" ref="C28:V28">+C17-C25</f>
        <v>3850000</v>
      </c>
      <c r="D28" s="46">
        <f t="shared" si="2"/>
        <v>-600000</v>
      </c>
      <c r="E28" s="46">
        <f t="shared" si="2"/>
        <v>0</v>
      </c>
      <c r="F28" s="46">
        <f t="shared" si="2"/>
        <v>0</v>
      </c>
      <c r="G28" s="46">
        <f t="shared" si="2"/>
        <v>31816000</v>
      </c>
      <c r="H28" s="46">
        <f t="shared" si="2"/>
        <v>-14500000</v>
      </c>
      <c r="I28" s="46">
        <f t="shared" si="2"/>
        <v>5000000</v>
      </c>
      <c r="J28" s="46">
        <f t="shared" si="2"/>
        <v>0</v>
      </c>
      <c r="K28" s="46">
        <f t="shared" si="2"/>
        <v>-30000000</v>
      </c>
      <c r="L28" s="46">
        <f t="shared" si="2"/>
        <v>0</v>
      </c>
      <c r="M28" s="46">
        <f t="shared" si="2"/>
        <v>0</v>
      </c>
      <c r="N28" s="46">
        <f t="shared" si="2"/>
        <v>0</v>
      </c>
      <c r="O28" s="46">
        <f t="shared" si="2"/>
        <v>50099000</v>
      </c>
      <c r="P28" s="46">
        <f t="shared" si="2"/>
        <v>0</v>
      </c>
      <c r="Q28" s="46">
        <f t="shared" si="2"/>
        <v>0</v>
      </c>
      <c r="R28" s="46">
        <f t="shared" si="2"/>
        <v>0</v>
      </c>
      <c r="S28" s="46">
        <f t="shared" si="2"/>
        <v>-10000000</v>
      </c>
      <c r="T28" s="46">
        <f t="shared" si="2"/>
        <v>0</v>
      </c>
      <c r="U28" s="46">
        <f t="shared" si="2"/>
        <v>80132000</v>
      </c>
      <c r="V28" s="46">
        <f t="shared" si="2"/>
        <v>20033000</v>
      </c>
    </row>
    <row r="29" spans="2:22" s="4" customFormat="1" ht="12.75">
      <c r="B29" s="4" t="s">
        <v>36</v>
      </c>
      <c r="C29" s="48">
        <f>C28</f>
        <v>3850000</v>
      </c>
      <c r="D29" s="48">
        <f>C29+D28</f>
        <v>3250000</v>
      </c>
      <c r="E29" s="48">
        <f aca="true" t="shared" si="3" ref="E29:V29">D29+E28</f>
        <v>3250000</v>
      </c>
      <c r="F29" s="48">
        <f t="shared" si="3"/>
        <v>3250000</v>
      </c>
      <c r="G29" s="48">
        <f t="shared" si="3"/>
        <v>35066000</v>
      </c>
      <c r="H29" s="48">
        <f t="shared" si="3"/>
        <v>20566000</v>
      </c>
      <c r="I29" s="48">
        <f t="shared" si="3"/>
        <v>25566000</v>
      </c>
      <c r="J29" s="48">
        <f t="shared" si="3"/>
        <v>25566000</v>
      </c>
      <c r="K29" s="50">
        <f t="shared" si="3"/>
        <v>-4434000</v>
      </c>
      <c r="L29" s="50">
        <f t="shared" si="3"/>
        <v>-4434000</v>
      </c>
      <c r="M29" s="50">
        <f t="shared" si="3"/>
        <v>-4434000</v>
      </c>
      <c r="N29" s="50">
        <f t="shared" si="3"/>
        <v>-4434000</v>
      </c>
      <c r="O29" s="48">
        <f t="shared" si="3"/>
        <v>45665000</v>
      </c>
      <c r="P29" s="48">
        <f t="shared" si="3"/>
        <v>45665000</v>
      </c>
      <c r="Q29" s="48">
        <f t="shared" si="3"/>
        <v>45665000</v>
      </c>
      <c r="R29" s="48">
        <f t="shared" si="3"/>
        <v>45665000</v>
      </c>
      <c r="S29" s="48">
        <f t="shared" si="3"/>
        <v>35665000</v>
      </c>
      <c r="T29" s="48">
        <f t="shared" si="3"/>
        <v>35665000</v>
      </c>
      <c r="U29" s="48">
        <f t="shared" si="3"/>
        <v>115797000</v>
      </c>
      <c r="V29" s="48">
        <f t="shared" si="3"/>
        <v>135830000</v>
      </c>
    </row>
  </sheetData>
  <sheetProtection/>
  <mergeCells count="5">
    <mergeCell ref="S4:V4"/>
    <mergeCell ref="C4:F4"/>
    <mergeCell ref="G4:J4"/>
    <mergeCell ref="K4:N4"/>
    <mergeCell ref="O4:R4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C3:H24"/>
  <sheetViews>
    <sheetView zoomScalePageLayoutView="0" workbookViewId="0" topLeftCell="C1">
      <selection activeCell="H21" sqref="H21"/>
    </sheetView>
  </sheetViews>
  <sheetFormatPr defaultColWidth="11.421875" defaultRowHeight="12.75"/>
  <cols>
    <col min="1" max="2" width="11.421875" style="0" customWidth="1"/>
    <col min="3" max="3" width="13.28125" style="0" bestFit="1" customWidth="1"/>
    <col min="4" max="5" width="16.57421875" style="0" bestFit="1" customWidth="1"/>
    <col min="6" max="6" width="18.140625" style="0" bestFit="1" customWidth="1"/>
    <col min="7" max="9" width="16.57421875" style="0" bestFit="1" customWidth="1"/>
    <col min="10" max="10" width="15.421875" style="0" bestFit="1" customWidth="1"/>
  </cols>
  <sheetData>
    <row r="1" ht="13.5" customHeight="1"/>
    <row r="3" spans="4:5" ht="12.75">
      <c r="D3" t="s">
        <v>42</v>
      </c>
      <c r="E3">
        <v>0.1</v>
      </c>
    </row>
    <row r="4" spans="4:8" ht="12.75">
      <c r="D4" s="103" t="s">
        <v>51</v>
      </c>
      <c r="E4" s="102" t="s">
        <v>50</v>
      </c>
      <c r="F4" s="101" t="s">
        <v>49</v>
      </c>
      <c r="G4" s="60" t="s">
        <v>43</v>
      </c>
      <c r="H4" s="62" t="s">
        <v>44</v>
      </c>
    </row>
    <row r="5" spans="4:8" ht="12.75">
      <c r="D5" s="104">
        <f>'[1]Feuil1'!$S$36</f>
        <v>513366430</v>
      </c>
      <c r="E5" s="56"/>
      <c r="F5" s="58"/>
      <c r="G5" s="60"/>
      <c r="H5" s="62"/>
    </row>
    <row r="6" spans="3:8" ht="12.75">
      <c r="C6">
        <v>1</v>
      </c>
      <c r="D6" s="54">
        <f>+D5</f>
        <v>513366430</v>
      </c>
      <c r="E6" s="57">
        <f>D6*$E$3</f>
        <v>51336643</v>
      </c>
      <c r="F6" s="59">
        <f>+E6*0.2</f>
        <v>10267328.600000001</v>
      </c>
      <c r="G6" s="83">
        <v>75374635.74470927</v>
      </c>
      <c r="H6" s="63">
        <f>+G6-F6-E6</f>
        <v>13770664.144709267</v>
      </c>
    </row>
    <row r="7" spans="3:8" ht="12.75">
      <c r="C7">
        <v>2</v>
      </c>
      <c r="D7" s="55">
        <f>+D6-H6</f>
        <v>499595765.8552907</v>
      </c>
      <c r="E7" s="57">
        <f aca="true" t="shared" si="0" ref="E7:E20">D7*$E$3</f>
        <v>49959576.585529074</v>
      </c>
      <c r="F7" s="59">
        <f aca="true" t="shared" si="1" ref="F7:F20">+E7*0.2</f>
        <v>9991915.317105815</v>
      </c>
      <c r="G7" s="61">
        <f>+$G$6</f>
        <v>75374635.74470927</v>
      </c>
      <c r="H7" s="63">
        <f>+G7-F7-E7</f>
        <v>15423143.84207438</v>
      </c>
    </row>
    <row r="8" spans="3:8" ht="12.75">
      <c r="C8">
        <v>3</v>
      </c>
      <c r="D8" s="55">
        <f>+D7-H7</f>
        <v>484172622.0132163</v>
      </c>
      <c r="E8" s="57">
        <f t="shared" si="0"/>
        <v>48417262.20132163</v>
      </c>
      <c r="F8" s="59">
        <f t="shared" si="1"/>
        <v>9683452.440264327</v>
      </c>
      <c r="G8" s="61">
        <f aca="true" t="shared" si="2" ref="G8:G20">+$G$6</f>
        <v>75374635.74470927</v>
      </c>
      <c r="H8" s="63">
        <f aca="true" t="shared" si="3" ref="H8:H20">+G8-F8-E8</f>
        <v>17273921.103123307</v>
      </c>
    </row>
    <row r="9" spans="3:8" ht="12.75">
      <c r="C9">
        <v>4</v>
      </c>
      <c r="D9" s="55">
        <f>+D8-H8</f>
        <v>466898700.910093</v>
      </c>
      <c r="E9" s="57">
        <f t="shared" si="0"/>
        <v>46689870.091009304</v>
      </c>
      <c r="F9" s="59">
        <f t="shared" si="1"/>
        <v>9337974.018201862</v>
      </c>
      <c r="G9" s="61">
        <f t="shared" si="2"/>
        <v>75374635.74470927</v>
      </c>
      <c r="H9" s="63">
        <f t="shared" si="3"/>
        <v>19346791.635498106</v>
      </c>
    </row>
    <row r="10" spans="3:8" ht="12.75">
      <c r="C10">
        <v>5</v>
      </c>
      <c r="D10" s="55">
        <f aca="true" t="shared" si="4" ref="D10:D20">+D9-H9</f>
        <v>447551909.2745949</v>
      </c>
      <c r="E10" s="57">
        <f t="shared" si="0"/>
        <v>44755190.92745949</v>
      </c>
      <c r="F10" s="59">
        <f t="shared" si="1"/>
        <v>8951038.185491899</v>
      </c>
      <c r="G10" s="61">
        <f t="shared" si="2"/>
        <v>75374635.74470927</v>
      </c>
      <c r="H10" s="63">
        <f t="shared" si="3"/>
        <v>21668406.631757878</v>
      </c>
    </row>
    <row r="11" spans="3:8" ht="12.75">
      <c r="C11">
        <v>6</v>
      </c>
      <c r="D11" s="55">
        <f t="shared" si="4"/>
        <v>425883502.64283705</v>
      </c>
      <c r="E11" s="57">
        <f t="shared" si="0"/>
        <v>42588350.26428371</v>
      </c>
      <c r="F11" s="59">
        <f t="shared" si="1"/>
        <v>8517670.052856741</v>
      </c>
      <c r="G11" s="61">
        <f t="shared" si="2"/>
        <v>75374635.74470927</v>
      </c>
      <c r="H11" s="63">
        <f t="shared" si="3"/>
        <v>24268615.427568816</v>
      </c>
    </row>
    <row r="12" spans="3:8" ht="12.75">
      <c r="C12">
        <v>7</v>
      </c>
      <c r="D12" s="55">
        <f t="shared" si="4"/>
        <v>401614887.21526825</v>
      </c>
      <c r="E12" s="57">
        <f t="shared" si="0"/>
        <v>40161488.721526824</v>
      </c>
      <c r="F12" s="59">
        <f t="shared" si="1"/>
        <v>8032297.744305365</v>
      </c>
      <c r="G12" s="61">
        <f t="shared" si="2"/>
        <v>75374635.74470927</v>
      </c>
      <c r="H12" s="63">
        <f t="shared" si="3"/>
        <v>27180849.278877087</v>
      </c>
    </row>
    <row r="13" spans="3:8" ht="12.75">
      <c r="C13">
        <v>8</v>
      </c>
      <c r="D13" s="55">
        <f t="shared" si="4"/>
        <v>374434037.9363912</v>
      </c>
      <c r="E13" s="57">
        <f t="shared" si="0"/>
        <v>37443403.793639116</v>
      </c>
      <c r="F13" s="59">
        <f t="shared" si="1"/>
        <v>7488680.758727823</v>
      </c>
      <c r="G13" s="61">
        <f t="shared" si="2"/>
        <v>75374635.74470927</v>
      </c>
      <c r="H13" s="63">
        <f t="shared" si="3"/>
        <v>30442551.192342333</v>
      </c>
    </row>
    <row r="14" spans="3:8" ht="12.75">
      <c r="C14">
        <v>9</v>
      </c>
      <c r="D14" s="55">
        <f t="shared" si="4"/>
        <v>343991486.74404883</v>
      </c>
      <c r="E14" s="57">
        <f t="shared" si="0"/>
        <v>34399148.67440488</v>
      </c>
      <c r="F14" s="59">
        <f t="shared" si="1"/>
        <v>6879829.734880976</v>
      </c>
      <c r="G14" s="61">
        <f t="shared" si="2"/>
        <v>75374635.74470927</v>
      </c>
      <c r="H14" s="63">
        <f t="shared" si="3"/>
        <v>34095657.33542342</v>
      </c>
    </row>
    <row r="15" spans="3:8" ht="12.75">
      <c r="C15">
        <v>10</v>
      </c>
      <c r="D15" s="55">
        <f t="shared" si="4"/>
        <v>309895829.4086254</v>
      </c>
      <c r="E15" s="57">
        <f t="shared" si="0"/>
        <v>30989582.940862544</v>
      </c>
      <c r="F15" s="59">
        <f t="shared" si="1"/>
        <v>6197916.588172509</v>
      </c>
      <c r="G15" s="61">
        <f t="shared" si="2"/>
        <v>75374635.74470927</v>
      </c>
      <c r="H15" s="63">
        <f t="shared" si="3"/>
        <v>38187136.215674214</v>
      </c>
    </row>
    <row r="16" spans="3:8" ht="12.75">
      <c r="C16">
        <v>11</v>
      </c>
      <c r="D16" s="55">
        <f t="shared" si="4"/>
        <v>271708693.1929512</v>
      </c>
      <c r="E16" s="57">
        <f t="shared" si="0"/>
        <v>27170869.319295123</v>
      </c>
      <c r="F16" s="59">
        <f t="shared" si="1"/>
        <v>5434173.863859025</v>
      </c>
      <c r="G16" s="61">
        <f t="shared" si="2"/>
        <v>75374635.74470927</v>
      </c>
      <c r="H16" s="63">
        <f t="shared" si="3"/>
        <v>42769592.56155512</v>
      </c>
    </row>
    <row r="17" spans="3:8" ht="12.75">
      <c r="C17">
        <v>12</v>
      </c>
      <c r="D17" s="55">
        <f t="shared" si="4"/>
        <v>228939100.63139609</v>
      </c>
      <c r="E17" s="57">
        <f t="shared" si="0"/>
        <v>22893910.06313961</v>
      </c>
      <c r="F17" s="59">
        <f t="shared" si="1"/>
        <v>4578782.012627922</v>
      </c>
      <c r="G17" s="61">
        <f t="shared" si="2"/>
        <v>75374635.74470927</v>
      </c>
      <c r="H17" s="63">
        <f t="shared" si="3"/>
        <v>47901943.66894174</v>
      </c>
    </row>
    <row r="18" spans="3:8" ht="12.75">
      <c r="C18">
        <v>13</v>
      </c>
      <c r="D18" s="55">
        <f t="shared" si="4"/>
        <v>181037156.96245435</v>
      </c>
      <c r="E18" s="57">
        <f t="shared" si="0"/>
        <v>18103715.696245436</v>
      </c>
      <c r="F18" s="59">
        <f t="shared" si="1"/>
        <v>3620743.1392490873</v>
      </c>
      <c r="G18" s="61">
        <f t="shared" si="2"/>
        <v>75374635.74470927</v>
      </c>
      <c r="H18" s="63">
        <f t="shared" si="3"/>
        <v>53650176.90921475</v>
      </c>
    </row>
    <row r="19" spans="3:8" ht="12.75">
      <c r="C19">
        <v>14</v>
      </c>
      <c r="D19" s="55">
        <f t="shared" si="4"/>
        <v>127386980.0532396</v>
      </c>
      <c r="E19" s="57">
        <f t="shared" si="0"/>
        <v>12738698.005323961</v>
      </c>
      <c r="F19" s="59">
        <f t="shared" si="1"/>
        <v>2547739.6010647924</v>
      </c>
      <c r="G19" s="61">
        <f t="shared" si="2"/>
        <v>75374635.74470927</v>
      </c>
      <c r="H19" s="63">
        <f t="shared" si="3"/>
        <v>60088198.13832052</v>
      </c>
    </row>
    <row r="20" spans="3:8" ht="12.75">
      <c r="C20">
        <v>15</v>
      </c>
      <c r="D20" s="55">
        <f t="shared" si="4"/>
        <v>67298781.91491908</v>
      </c>
      <c r="E20" s="57">
        <f t="shared" si="0"/>
        <v>6729878.191491908</v>
      </c>
      <c r="F20" s="59">
        <f t="shared" si="1"/>
        <v>1345975.6382983818</v>
      </c>
      <c r="G20" s="61">
        <f t="shared" si="2"/>
        <v>75374635.74470927</v>
      </c>
      <c r="H20" s="63">
        <f t="shared" si="3"/>
        <v>67298781.91491899</v>
      </c>
    </row>
    <row r="21" spans="5:8" ht="12.75">
      <c r="E21" s="53">
        <f>SUM(E6:E20)</f>
        <v>514377588.47553253</v>
      </c>
      <c r="F21" s="53">
        <f>SUM(F6:F20)</f>
        <v>102875517.6951065</v>
      </c>
      <c r="G21" s="53">
        <f>SUM(G6:G20)</f>
        <v>1130619536.170639</v>
      </c>
      <c r="H21" s="53">
        <f>SUM(H6:H20)</f>
        <v>513366429.9999999</v>
      </c>
    </row>
    <row r="23" ht="12.75">
      <c r="G23" s="45"/>
    </row>
    <row r="24" ht="12.75">
      <c r="F24" s="53"/>
    </row>
  </sheetData>
  <sheetProtection/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C3:K33"/>
  <sheetViews>
    <sheetView zoomScalePageLayoutView="0" workbookViewId="0" topLeftCell="A1">
      <selection activeCell="J12" sqref="J12"/>
    </sheetView>
  </sheetViews>
  <sheetFormatPr defaultColWidth="11.421875" defaultRowHeight="12.75"/>
  <cols>
    <col min="1" max="3" width="11.421875" style="0" customWidth="1"/>
    <col min="4" max="4" width="16.57421875" style="0" bestFit="1" customWidth="1"/>
    <col min="5" max="5" width="14.00390625" style="0" bestFit="1" customWidth="1"/>
    <col min="6" max="6" width="13.8515625" style="0" bestFit="1" customWidth="1"/>
    <col min="7" max="7" width="16.57421875" style="0" bestFit="1" customWidth="1"/>
    <col min="8" max="8" width="20.8515625" style="0" bestFit="1" customWidth="1"/>
    <col min="10" max="10" width="15.421875" style="0" bestFit="1" customWidth="1"/>
    <col min="11" max="11" width="16.57421875" style="0" bestFit="1" customWidth="1"/>
  </cols>
  <sheetData>
    <row r="3" spans="4:7" ht="12.75">
      <c r="D3" t="s">
        <v>42</v>
      </c>
      <c r="E3">
        <v>0.1</v>
      </c>
      <c r="G3" s="53"/>
    </row>
    <row r="4" spans="4:8" ht="12.75">
      <c r="D4" s="103" t="s">
        <v>51</v>
      </c>
      <c r="E4" s="102" t="s">
        <v>50</v>
      </c>
      <c r="F4" s="101" t="s">
        <v>49</v>
      </c>
      <c r="G4" s="60" t="s">
        <v>95</v>
      </c>
      <c r="H4" s="62" t="s">
        <v>44</v>
      </c>
    </row>
    <row r="5" spans="4:8" ht="12.75">
      <c r="D5" s="104" t="e">
        <f>100000*#REF!</f>
        <v>#REF!</v>
      </c>
      <c r="E5" s="56"/>
      <c r="F5" s="58"/>
      <c r="G5" s="60"/>
      <c r="H5" s="62"/>
    </row>
    <row r="6" spans="3:10" ht="12.75">
      <c r="C6">
        <v>1</v>
      </c>
      <c r="D6" s="54" t="e">
        <f>+D5</f>
        <v>#REF!</v>
      </c>
      <c r="E6" s="57" t="e">
        <f>D6*$E$3</f>
        <v>#REF!</v>
      </c>
      <c r="F6" s="59" t="e">
        <f>+E6*0.2</f>
        <v>#REF!</v>
      </c>
      <c r="G6" s="83" t="e">
        <f>D5*13%</f>
        <v>#REF!</v>
      </c>
      <c r="H6" s="63" t="e">
        <f>+G6-F6-E6</f>
        <v>#REF!</v>
      </c>
      <c r="J6" s="46" t="e">
        <f>+G6/D5</f>
        <v>#REF!</v>
      </c>
    </row>
    <row r="7" spans="3:10" ht="12.75">
      <c r="C7">
        <v>2</v>
      </c>
      <c r="D7" s="55" t="e">
        <f>+D6-H6</f>
        <v>#REF!</v>
      </c>
      <c r="E7" s="57" t="e">
        <f aca="true" t="shared" si="0" ref="E7:E20">D7*$E$3</f>
        <v>#REF!</v>
      </c>
      <c r="F7" s="59" t="e">
        <f aca="true" t="shared" si="1" ref="F7:F20">+E7*0.2</f>
        <v>#REF!</v>
      </c>
      <c r="G7" s="61" t="e">
        <f>+$G$6</f>
        <v>#REF!</v>
      </c>
      <c r="H7" s="63" t="e">
        <f>+G7-F7-E7</f>
        <v>#REF!</v>
      </c>
      <c r="J7" s="46" t="e">
        <f>D5*J6</f>
        <v>#REF!</v>
      </c>
    </row>
    <row r="8" spans="3:8" ht="12.75">
      <c r="C8">
        <v>3</v>
      </c>
      <c r="D8" s="55" t="e">
        <f>+D7-H7</f>
        <v>#REF!</v>
      </c>
      <c r="E8" s="57" t="e">
        <f t="shared" si="0"/>
        <v>#REF!</v>
      </c>
      <c r="F8" s="59" t="e">
        <f t="shared" si="1"/>
        <v>#REF!</v>
      </c>
      <c r="G8" s="61" t="e">
        <f aca="true" t="shared" si="2" ref="G8:G30">+$G$6</f>
        <v>#REF!</v>
      </c>
      <c r="H8" s="63" t="e">
        <f aca="true" t="shared" si="3" ref="H8:H20">+G8-F8-E8</f>
        <v>#REF!</v>
      </c>
    </row>
    <row r="9" spans="3:8" ht="12.75">
      <c r="C9">
        <v>4</v>
      </c>
      <c r="D9" s="55" t="e">
        <f>+D8-H8</f>
        <v>#REF!</v>
      </c>
      <c r="E9" s="57" t="e">
        <f t="shared" si="0"/>
        <v>#REF!</v>
      </c>
      <c r="F9" s="59" t="e">
        <f t="shared" si="1"/>
        <v>#REF!</v>
      </c>
      <c r="G9" s="61" t="e">
        <f t="shared" si="2"/>
        <v>#REF!</v>
      </c>
      <c r="H9" s="63" t="e">
        <f t="shared" si="3"/>
        <v>#REF!</v>
      </c>
    </row>
    <row r="10" spans="3:8" ht="12.75">
      <c r="C10">
        <v>5</v>
      </c>
      <c r="D10" s="55" t="e">
        <f aca="true" t="shared" si="4" ref="D10:D20">+D9-H9</f>
        <v>#REF!</v>
      </c>
      <c r="E10" s="57" t="e">
        <f t="shared" si="0"/>
        <v>#REF!</v>
      </c>
      <c r="F10" s="59" t="e">
        <f t="shared" si="1"/>
        <v>#REF!</v>
      </c>
      <c r="G10" s="61" t="e">
        <f t="shared" si="2"/>
        <v>#REF!</v>
      </c>
      <c r="H10" s="63" t="e">
        <f t="shared" si="3"/>
        <v>#REF!</v>
      </c>
    </row>
    <row r="11" spans="3:8" ht="12.75">
      <c r="C11">
        <v>6</v>
      </c>
      <c r="D11" s="55" t="e">
        <f t="shared" si="4"/>
        <v>#REF!</v>
      </c>
      <c r="E11" s="57" t="e">
        <f t="shared" si="0"/>
        <v>#REF!</v>
      </c>
      <c r="F11" s="59" t="e">
        <f t="shared" si="1"/>
        <v>#REF!</v>
      </c>
      <c r="G11" s="61" t="e">
        <f t="shared" si="2"/>
        <v>#REF!</v>
      </c>
      <c r="H11" s="63" t="e">
        <f t="shared" si="3"/>
        <v>#REF!</v>
      </c>
    </row>
    <row r="12" spans="3:8" ht="12.75">
      <c r="C12">
        <v>7</v>
      </c>
      <c r="D12" s="55" t="e">
        <f t="shared" si="4"/>
        <v>#REF!</v>
      </c>
      <c r="E12" s="57" t="e">
        <f t="shared" si="0"/>
        <v>#REF!</v>
      </c>
      <c r="F12" s="59" t="e">
        <f t="shared" si="1"/>
        <v>#REF!</v>
      </c>
      <c r="G12" s="61" t="e">
        <f t="shared" si="2"/>
        <v>#REF!</v>
      </c>
      <c r="H12" s="63" t="e">
        <f t="shared" si="3"/>
        <v>#REF!</v>
      </c>
    </row>
    <row r="13" spans="3:8" ht="12.75">
      <c r="C13">
        <v>8</v>
      </c>
      <c r="D13" s="55" t="e">
        <f t="shared" si="4"/>
        <v>#REF!</v>
      </c>
      <c r="E13" s="57" t="e">
        <f t="shared" si="0"/>
        <v>#REF!</v>
      </c>
      <c r="F13" s="59" t="e">
        <f t="shared" si="1"/>
        <v>#REF!</v>
      </c>
      <c r="G13" s="61" t="e">
        <f t="shared" si="2"/>
        <v>#REF!</v>
      </c>
      <c r="H13" s="63" t="e">
        <f>+G13-F13-E13</f>
        <v>#REF!</v>
      </c>
    </row>
    <row r="14" spans="3:8" ht="12.75">
      <c r="C14">
        <v>9</v>
      </c>
      <c r="D14" s="55" t="e">
        <f t="shared" si="4"/>
        <v>#REF!</v>
      </c>
      <c r="E14" s="57" t="e">
        <f t="shared" si="0"/>
        <v>#REF!</v>
      </c>
      <c r="F14" s="59" t="e">
        <f t="shared" si="1"/>
        <v>#REF!</v>
      </c>
      <c r="G14" s="61" t="e">
        <f t="shared" si="2"/>
        <v>#REF!</v>
      </c>
      <c r="H14" s="63" t="e">
        <f t="shared" si="3"/>
        <v>#REF!</v>
      </c>
    </row>
    <row r="15" spans="3:8" ht="12.75">
      <c r="C15">
        <v>10</v>
      </c>
      <c r="D15" s="55" t="e">
        <f t="shared" si="4"/>
        <v>#REF!</v>
      </c>
      <c r="E15" s="57" t="e">
        <f t="shared" si="0"/>
        <v>#REF!</v>
      </c>
      <c r="F15" s="59" t="e">
        <f t="shared" si="1"/>
        <v>#REF!</v>
      </c>
      <c r="G15" s="61" t="e">
        <f t="shared" si="2"/>
        <v>#REF!</v>
      </c>
      <c r="H15" s="63" t="e">
        <f t="shared" si="3"/>
        <v>#REF!</v>
      </c>
    </row>
    <row r="16" spans="3:8" ht="12.75">
      <c r="C16">
        <v>11</v>
      </c>
      <c r="D16" s="55" t="e">
        <f t="shared" si="4"/>
        <v>#REF!</v>
      </c>
      <c r="E16" s="57" t="e">
        <f t="shared" si="0"/>
        <v>#REF!</v>
      </c>
      <c r="F16" s="59" t="e">
        <f t="shared" si="1"/>
        <v>#REF!</v>
      </c>
      <c r="G16" s="61" t="e">
        <f t="shared" si="2"/>
        <v>#REF!</v>
      </c>
      <c r="H16" s="63" t="e">
        <f t="shared" si="3"/>
        <v>#REF!</v>
      </c>
    </row>
    <row r="17" spans="3:8" ht="12.75">
      <c r="C17">
        <v>12</v>
      </c>
      <c r="D17" s="55" t="e">
        <f t="shared" si="4"/>
        <v>#REF!</v>
      </c>
      <c r="E17" s="57" t="e">
        <f t="shared" si="0"/>
        <v>#REF!</v>
      </c>
      <c r="F17" s="59" t="e">
        <f t="shared" si="1"/>
        <v>#REF!</v>
      </c>
      <c r="G17" s="61" t="e">
        <f t="shared" si="2"/>
        <v>#REF!</v>
      </c>
      <c r="H17" s="63" t="e">
        <f t="shared" si="3"/>
        <v>#REF!</v>
      </c>
    </row>
    <row r="18" spans="3:11" ht="12.75">
      <c r="C18">
        <v>13</v>
      </c>
      <c r="D18" s="55" t="e">
        <f t="shared" si="4"/>
        <v>#REF!</v>
      </c>
      <c r="E18" s="57" t="e">
        <f t="shared" si="0"/>
        <v>#REF!</v>
      </c>
      <c r="F18" s="59" t="e">
        <f t="shared" si="1"/>
        <v>#REF!</v>
      </c>
      <c r="G18" s="61" t="e">
        <f t="shared" si="2"/>
        <v>#REF!</v>
      </c>
      <c r="H18" s="63" t="e">
        <f t="shared" si="3"/>
        <v>#REF!</v>
      </c>
      <c r="K18" t="s">
        <v>94</v>
      </c>
    </row>
    <row r="19" spans="3:8" ht="12.75">
      <c r="C19">
        <v>14</v>
      </c>
      <c r="D19" s="55" t="e">
        <f t="shared" si="4"/>
        <v>#REF!</v>
      </c>
      <c r="E19" s="57" t="e">
        <f t="shared" si="0"/>
        <v>#REF!</v>
      </c>
      <c r="F19" s="59" t="e">
        <f t="shared" si="1"/>
        <v>#REF!</v>
      </c>
      <c r="G19" s="61" t="e">
        <f t="shared" si="2"/>
        <v>#REF!</v>
      </c>
      <c r="H19" s="63" t="e">
        <f t="shared" si="3"/>
        <v>#REF!</v>
      </c>
    </row>
    <row r="20" spans="3:8" ht="12.75">
      <c r="C20">
        <v>15</v>
      </c>
      <c r="D20" s="55" t="e">
        <f t="shared" si="4"/>
        <v>#REF!</v>
      </c>
      <c r="E20" s="57" t="e">
        <f t="shared" si="0"/>
        <v>#REF!</v>
      </c>
      <c r="F20" s="59" t="e">
        <f t="shared" si="1"/>
        <v>#REF!</v>
      </c>
      <c r="G20" s="61" t="e">
        <f t="shared" si="2"/>
        <v>#REF!</v>
      </c>
      <c r="H20" s="63" t="e">
        <f t="shared" si="3"/>
        <v>#REF!</v>
      </c>
    </row>
    <row r="21" spans="3:8" ht="12.75">
      <c r="C21">
        <v>16</v>
      </c>
      <c r="D21" s="55" t="e">
        <f aca="true" t="shared" si="5" ref="D21:D30">+D20-H20</f>
        <v>#REF!</v>
      </c>
      <c r="E21" s="57" t="e">
        <f aca="true" t="shared" si="6" ref="E21:E30">D21*$E$3</f>
        <v>#REF!</v>
      </c>
      <c r="F21" s="59" t="e">
        <f aca="true" t="shared" si="7" ref="F21:F30">+E21*0.2</f>
        <v>#REF!</v>
      </c>
      <c r="G21" s="61" t="e">
        <f t="shared" si="2"/>
        <v>#REF!</v>
      </c>
      <c r="H21" s="63" t="e">
        <f aca="true" t="shared" si="8" ref="H21:H30">+G21-F21-E21</f>
        <v>#REF!</v>
      </c>
    </row>
    <row r="22" spans="3:11" ht="12.75">
      <c r="C22">
        <v>17</v>
      </c>
      <c r="D22" s="55" t="e">
        <f t="shared" si="5"/>
        <v>#REF!</v>
      </c>
      <c r="E22" s="57" t="e">
        <f t="shared" si="6"/>
        <v>#REF!</v>
      </c>
      <c r="F22" s="59" t="e">
        <f t="shared" si="7"/>
        <v>#REF!</v>
      </c>
      <c r="G22" s="61" t="e">
        <f t="shared" si="2"/>
        <v>#REF!</v>
      </c>
      <c r="H22" s="63" t="e">
        <f t="shared" si="8"/>
        <v>#REF!</v>
      </c>
      <c r="K22">
        <v>100000</v>
      </c>
    </row>
    <row r="23" spans="3:11" ht="12.75">
      <c r="C23">
        <v>18</v>
      </c>
      <c r="D23" s="55" t="e">
        <f t="shared" si="5"/>
        <v>#REF!</v>
      </c>
      <c r="E23" s="57" t="e">
        <f t="shared" si="6"/>
        <v>#REF!</v>
      </c>
      <c r="F23" s="59" t="e">
        <f t="shared" si="7"/>
        <v>#REF!</v>
      </c>
      <c r="G23" s="61" t="e">
        <f t="shared" si="2"/>
        <v>#REF!</v>
      </c>
      <c r="H23" s="63" t="e">
        <f t="shared" si="8"/>
        <v>#REF!</v>
      </c>
      <c r="K23" s="45" t="e">
        <f>K22*#REF!</f>
        <v>#REF!</v>
      </c>
    </row>
    <row r="24" spans="3:8" ht="12.75">
      <c r="C24">
        <v>19</v>
      </c>
      <c r="D24" s="55" t="e">
        <f t="shared" si="5"/>
        <v>#REF!</v>
      </c>
      <c r="E24" s="57" t="e">
        <f t="shared" si="6"/>
        <v>#REF!</v>
      </c>
      <c r="F24" s="59" t="e">
        <f t="shared" si="7"/>
        <v>#REF!</v>
      </c>
      <c r="G24" s="61" t="e">
        <f t="shared" si="2"/>
        <v>#REF!</v>
      </c>
      <c r="H24" s="63" t="e">
        <f t="shared" si="8"/>
        <v>#REF!</v>
      </c>
    </row>
    <row r="25" spans="3:8" ht="12.75">
      <c r="C25">
        <v>20</v>
      </c>
      <c r="D25" s="55" t="e">
        <f t="shared" si="5"/>
        <v>#REF!</v>
      </c>
      <c r="E25" s="57" t="e">
        <f t="shared" si="6"/>
        <v>#REF!</v>
      </c>
      <c r="F25" s="59" t="e">
        <f t="shared" si="7"/>
        <v>#REF!</v>
      </c>
      <c r="G25" s="61" t="e">
        <f t="shared" si="2"/>
        <v>#REF!</v>
      </c>
      <c r="H25" s="63" t="e">
        <f t="shared" si="8"/>
        <v>#REF!</v>
      </c>
    </row>
    <row r="26" spans="3:8" ht="12.75">
      <c r="C26">
        <v>21</v>
      </c>
      <c r="D26" s="55" t="e">
        <f t="shared" si="5"/>
        <v>#REF!</v>
      </c>
      <c r="E26" s="57" t="e">
        <f t="shared" si="6"/>
        <v>#REF!</v>
      </c>
      <c r="F26" s="59" t="e">
        <f t="shared" si="7"/>
        <v>#REF!</v>
      </c>
      <c r="G26" s="61" t="e">
        <f t="shared" si="2"/>
        <v>#REF!</v>
      </c>
      <c r="H26" s="63" t="e">
        <f t="shared" si="8"/>
        <v>#REF!</v>
      </c>
    </row>
    <row r="27" spans="3:8" ht="12.75">
      <c r="C27">
        <v>22</v>
      </c>
      <c r="D27" s="55" t="e">
        <f t="shared" si="5"/>
        <v>#REF!</v>
      </c>
      <c r="E27" s="57" t="e">
        <f t="shared" si="6"/>
        <v>#REF!</v>
      </c>
      <c r="F27" s="59" t="e">
        <f t="shared" si="7"/>
        <v>#REF!</v>
      </c>
      <c r="G27" s="61" t="e">
        <f t="shared" si="2"/>
        <v>#REF!</v>
      </c>
      <c r="H27" s="63" t="e">
        <f t="shared" si="8"/>
        <v>#REF!</v>
      </c>
    </row>
    <row r="28" spans="3:8" ht="12.75">
      <c r="C28">
        <v>23</v>
      </c>
      <c r="D28" s="55" t="e">
        <f t="shared" si="5"/>
        <v>#REF!</v>
      </c>
      <c r="E28" s="57" t="e">
        <f t="shared" si="6"/>
        <v>#REF!</v>
      </c>
      <c r="F28" s="59" t="e">
        <f t="shared" si="7"/>
        <v>#REF!</v>
      </c>
      <c r="G28" s="61" t="e">
        <f t="shared" si="2"/>
        <v>#REF!</v>
      </c>
      <c r="H28" s="63" t="e">
        <f t="shared" si="8"/>
        <v>#REF!</v>
      </c>
    </row>
    <row r="29" spans="3:8" ht="12.75">
      <c r="C29">
        <v>24</v>
      </c>
      <c r="D29" s="55" t="e">
        <f t="shared" si="5"/>
        <v>#REF!</v>
      </c>
      <c r="E29" s="57" t="e">
        <f t="shared" si="6"/>
        <v>#REF!</v>
      </c>
      <c r="F29" s="59" t="e">
        <f t="shared" si="7"/>
        <v>#REF!</v>
      </c>
      <c r="G29" s="61" t="e">
        <f t="shared" si="2"/>
        <v>#REF!</v>
      </c>
      <c r="H29" s="63" t="e">
        <f t="shared" si="8"/>
        <v>#REF!</v>
      </c>
    </row>
    <row r="30" spans="3:8" ht="12.75">
      <c r="C30">
        <v>25</v>
      </c>
      <c r="D30" s="55" t="e">
        <f t="shared" si="5"/>
        <v>#REF!</v>
      </c>
      <c r="E30" s="57" t="e">
        <f t="shared" si="6"/>
        <v>#REF!</v>
      </c>
      <c r="F30" s="59" t="e">
        <f t="shared" si="7"/>
        <v>#REF!</v>
      </c>
      <c r="G30" s="61" t="e">
        <f t="shared" si="2"/>
        <v>#REF!</v>
      </c>
      <c r="H30" s="63" t="e">
        <f t="shared" si="8"/>
        <v>#REF!</v>
      </c>
    </row>
    <row r="31" spans="5:8" ht="12.75">
      <c r="E31" s="53" t="e">
        <f>SUM(E6:E20)</f>
        <v>#REF!</v>
      </c>
      <c r="F31" s="53" t="e">
        <f>SUM(F6:F20)</f>
        <v>#REF!</v>
      </c>
      <c r="G31" s="53" t="e">
        <f>SUM(G6:G20)</f>
        <v>#REF!</v>
      </c>
      <c r="H31" s="53" t="e">
        <f>SUM(H6:H30)</f>
        <v>#REF!</v>
      </c>
    </row>
    <row r="33" ht="12.75">
      <c r="G33" s="45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Paoly Jaona</dc:creator>
  <cp:keywords/>
  <dc:description/>
  <cp:lastModifiedBy>USER</cp:lastModifiedBy>
  <cp:lastPrinted>2017-09-28T05:47:32Z</cp:lastPrinted>
  <dcterms:created xsi:type="dcterms:W3CDTF">2009-06-24T07:17:26Z</dcterms:created>
  <dcterms:modified xsi:type="dcterms:W3CDTF">2023-03-09T16:22:41Z</dcterms:modified>
  <cp:category/>
  <cp:version/>
  <cp:contentType/>
  <cp:contentStatus/>
</cp:coreProperties>
</file>